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tables/table11.xml" ContentType="application/vnd.openxmlformats-officedocument.spreadsheetml.table+xml"/>
  <Override PartName="/xl/tables/table6.xml" ContentType="application/vnd.openxmlformats-officedocument.spreadsheetml.table+xml"/>
  <Override PartName="/xl/tables/table9.xml" ContentType="application/vnd.openxmlformats-officedocument.spreadsheetml.table+xml"/>
  <Override PartName="/xl/tables/table3.xml" ContentType="application/vnd.openxmlformats-officedocument.spreadsheetml.table+xml"/>
  <Override PartName="/xl/tables/table13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4.xml" ContentType="application/vnd.openxmlformats-officedocument.spreadsheetml.table+xml"/>
  <Override PartName="/xl/tables/table10.xml" ContentType="application/vnd.openxmlformats-officedocument.spreadsheetml.table+xml"/>
  <Override PartName="/xl/tables/table5.xml" ContentType="application/vnd.openxmlformats-officedocument.spreadsheetml.table+xml"/>
  <Override PartName="/xl/tables/table12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60.xml" ContentType="application/vnd.openxmlformats-officedocument.drawingml.chart+xml"/>
  <Override PartName="/xl/charts/chart55.xml" ContentType="application/vnd.openxmlformats-officedocument.drawingml.chart+xml"/>
  <Override PartName="/xl/charts/chart61.xml" ContentType="application/vnd.openxmlformats-officedocument.drawingml.chart+xml"/>
  <Override PartName="/xl/charts/chart56.xml" ContentType="application/vnd.openxmlformats-officedocument.drawingml.chart+xml"/>
  <Override PartName="/xl/charts/chart62.xml" ContentType="application/vnd.openxmlformats-officedocument.drawingml.chart+xml"/>
  <Override PartName="/xl/charts/chart57.xml" ContentType="application/vnd.openxmlformats-officedocument.drawingml.chart+xml"/>
  <Override PartName="/xl/charts/chart63.xml" ContentType="application/vnd.openxmlformats-officedocument.drawingml.chart+xml"/>
  <Override PartName="/xl/charts/chart58.xml" ContentType="application/vnd.openxmlformats-officedocument.drawingml.chart+xml"/>
  <Override PartName="/xl/charts/chart64.xml" ContentType="application/vnd.openxmlformats-officedocument.drawingml.chart+xml"/>
  <Override PartName="/xl/charts/chart59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put" sheetId="1" state="visible" r:id="rId2"/>
    <sheet name="calc" sheetId="2" state="visible" r:id="rId3"/>
    <sheet name="elev  az  illum  rise  set" sheetId="3" state="visible" r:id="rId4"/>
    <sheet name="distance  declin  RA" sheetId="4" state="visible" r:id="rId5"/>
    <sheet name="L   B" sheetId="5" state="visible" r:id="rId6"/>
    <sheet name="sol ecl" sheetId="6" state="visible" r:id="rId7"/>
    <sheet name="sun" sheetId="7" state="visible" r:id="rId8"/>
    <sheet name="caldat" sheetId="8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<sst xmlns="http://schemas.openxmlformats.org/spreadsheetml/2006/main" count="176" uniqueCount="115">
  <si>
    <t xml:space="preserve">Date:</t>
  </si>
  <si>
    <t xml:space="preserve">Month:</t>
  </si>
  <si>
    <t xml:space="preserve">Year:</t>
  </si>
  <si>
    <t xml:space="preserve">Lat.:</t>
  </si>
  <si>
    <t xml:space="preserve">Long.:</t>
  </si>
  <si>
    <t xml:space="preserve">J. Giesen</t>
  </si>
  <si>
    <t xml:space="preserve">GeoAstro.de/moonpos</t>
  </si>
  <si>
    <t xml:space="preserve">Rise (UT)</t>
  </si>
  <si>
    <t xml:space="preserve">Set (UT)</t>
  </si>
  <si>
    <t xml:space="preserve">Diurnal Arc (h)</t>
  </si>
  <si>
    <t xml:space="preserve">Astronomical Algorithms</t>
  </si>
  <si>
    <t xml:space="preserve">by Jean Meeus</t>
  </si>
  <si>
    <t xml:space="preserve">Culm (UT)</t>
  </si>
  <si>
    <t xml:space="preserve">Trans (UT)</t>
  </si>
  <si>
    <t xml:space="preserve">max</t>
  </si>
  <si>
    <t xml:space="preserve">min</t>
  </si>
  <si>
    <t xml:space="preserve">UT:</t>
  </si>
  <si>
    <t xml:space="preserve">Rtopo / km</t>
  </si>
  <si>
    <t xml:space="preserve">max-min:</t>
  </si>
  <si>
    <t xml:space="preserve">UT 00:00</t>
  </si>
  <si>
    <t xml:space="preserve">UT</t>
  </si>
  <si>
    <t xml:space="preserve">Date</t>
  </si>
  <si>
    <t xml:space="preserve">Month</t>
  </si>
  <si>
    <t xml:space="preserve">Year</t>
  </si>
  <si>
    <t xml:space="preserve">elev</t>
  </si>
  <si>
    <t xml:space="preserve">elevRefr</t>
  </si>
  <si>
    <t xml:space="preserve">ill frac/%</t>
  </si>
  <si>
    <t xml:space="preserve">az</t>
  </si>
  <si>
    <t xml:space="preserve">JD</t>
  </si>
  <si>
    <t xml:space="preserve">T</t>
  </si>
  <si>
    <t xml:space="preserve">LST</t>
  </si>
  <si>
    <t xml:space="preserve">L0</t>
  </si>
  <si>
    <t xml:space="preserve">DL</t>
  </si>
  <si>
    <t xml:space="preserve">L</t>
  </si>
  <si>
    <t xml:space="preserve">LS</t>
  </si>
  <si>
    <t xml:space="preserve">D</t>
  </si>
  <si>
    <t xml:space="preserve">F</t>
  </si>
  <si>
    <t xml:space="preserve">S</t>
  </si>
  <si>
    <t xml:space="preserve">H</t>
  </si>
  <si>
    <t xml:space="preserve">N</t>
  </si>
  <si>
    <t xml:space="preserve">Lmoon</t>
  </si>
  <si>
    <t xml:space="preserve">Lm</t>
  </si>
  <si>
    <t xml:space="preserve">Bmoon</t>
  </si>
  <si>
    <t xml:space="preserve">X</t>
  </si>
  <si>
    <t xml:space="preserve">V</t>
  </si>
  <si>
    <t xml:space="preserve">W</t>
  </si>
  <si>
    <t xml:space="preserve">Y</t>
  </si>
  <si>
    <t xml:space="preserve">Z</t>
  </si>
  <si>
    <t xml:space="preserve">RHO</t>
  </si>
  <si>
    <t xml:space="preserve">DEC</t>
  </si>
  <si>
    <t xml:space="preserve">RA</t>
  </si>
  <si>
    <t xml:space="preserve">LHA</t>
  </si>
  <si>
    <t xml:space="preserve">equ hor par</t>
  </si>
  <si>
    <t xml:space="preserve">elev1</t>
  </si>
  <si>
    <t xml:space="preserve">par</t>
  </si>
  <si>
    <t xml:space="preserve">elev1-par</t>
  </si>
  <si>
    <t xml:space="preserve">Lsun</t>
  </si>
  <si>
    <t xml:space="preserve">theta</t>
  </si>
  <si>
    <t xml:space="preserve">d</t>
  </si>
  <si>
    <t xml:space="preserve">i</t>
  </si>
  <si>
    <t xml:space="preserve">arctan(2;1)</t>
  </si>
  <si>
    <t xml:space="preserve">R / km</t>
  </si>
  <si>
    <t xml:space="preserve">diam</t>
  </si>
  <si>
    <t xml:space="preserve">u</t>
  </si>
  <si>
    <t xml:space="preserve">cos</t>
  </si>
  <si>
    <t xml:space="preserve">sin</t>
  </si>
  <si>
    <t xml:space="preserve">sin(pi)</t>
  </si>
  <si>
    <t xml:space="preserve">A</t>
  </si>
  <si>
    <t xml:space="preserve">B</t>
  </si>
  <si>
    <t xml:space="preserve">C</t>
  </si>
  <si>
    <t xml:space="preserve">return q</t>
  </si>
  <si>
    <t xml:space="preserve">topo</t>
  </si>
  <si>
    <t xml:space="preserve">(=PI()/180)</t>
  </si>
  <si>
    <t xml:space="preserve">GeoAstro.de/</t>
  </si>
  <si>
    <t xml:space="preserve">moonpos</t>
  </si>
  <si>
    <t xml:space="preserve">max:</t>
  </si>
  <si>
    <t xml:space="preserve">min:</t>
  </si>
  <si>
    <t xml:space="preserve">rise/h</t>
  </si>
  <si>
    <t xml:space="preserve">rise/min</t>
  </si>
  <si>
    <t xml:space="preserve">set/h</t>
  </si>
  <si>
    <t xml:space="preserve">set/min</t>
  </si>
  <si>
    <t xml:space="preserve">R</t>
  </si>
  <si>
    <t xml:space="preserve">Culm</t>
  </si>
  <si>
    <t xml:space="preserve">Trans</t>
  </si>
  <si>
    <t xml:space="preserve"> Don‘t edit any cell.</t>
  </si>
  <si>
    <t xml:space="preserve"> Go to ‚input‘.</t>
  </si>
  <si>
    <t xml:space="preserve">RA / h</t>
  </si>
  <si>
    <t xml:space="preserve">RA / °</t>
  </si>
  <si>
    <t xml:space="preserve">Tagbogen</t>
  </si>
  <si>
    <t xml:space="preserve">Don‘t edit</t>
  </si>
  <si>
    <t xml:space="preserve">∆L / h</t>
  </si>
  <si>
    <t xml:space="preserve">Bmoon/°</t>
  </si>
  <si>
    <t xml:space="preserve">rS</t>
  </si>
  <si>
    <t xml:space="preserve">rE</t>
  </si>
  <si>
    <t xml:space="preserve">rM</t>
  </si>
  <si>
    <t xml:space="preserve">rS/rE</t>
  </si>
  <si>
    <t xml:space="preserve">rS/rM</t>
  </si>
  <si>
    <t xml:space="preserve">rE/rM</t>
  </si>
  <si>
    <r>
      <rPr>
        <sz val="16"/>
        <color rgb="FF000000"/>
        <rFont val="Liberation Sans1"/>
        <family val="0"/>
      </rPr>
      <t xml:space="preserve">|β</t>
    </r>
    <r>
      <rPr>
        <vertAlign val="subscript"/>
        <sz val="13"/>
        <color rgb="FF000000"/>
        <rFont val="Liberation Sans1"/>
        <family val="0"/>
      </rPr>
      <t xml:space="preserve">syz</t>
    </r>
    <r>
      <rPr>
        <sz val="16"/>
        <color rgb="FF000000"/>
        <rFont val="Liberation Sans1"/>
        <family val="0"/>
      </rPr>
      <t xml:space="preserve">| &lt; δ</t>
    </r>
    <r>
      <rPr>
        <vertAlign val="subscript"/>
        <sz val="13"/>
        <color rgb="FF000000"/>
        <rFont val="Liberation Sans1"/>
        <family val="0"/>
      </rPr>
      <t xml:space="preserve">M</t>
    </r>
    <r>
      <rPr>
        <sz val="16"/>
        <color rgb="FF000000"/>
        <rFont val="Liberation Sans1"/>
        <family val="0"/>
      </rPr>
      <t xml:space="preserve"> + ρ</t>
    </r>
    <r>
      <rPr>
        <vertAlign val="subscript"/>
        <sz val="13"/>
        <color rgb="FF000000"/>
        <rFont val="Liberation Sans1"/>
        <family val="0"/>
      </rPr>
      <t xml:space="preserve">M</t>
    </r>
    <r>
      <rPr>
        <sz val="16"/>
        <color rgb="FF000000"/>
        <rFont val="Liberation Sans1"/>
        <family val="0"/>
      </rPr>
      <t xml:space="preserve"> - ρ</t>
    </r>
    <r>
      <rPr>
        <vertAlign val="subscript"/>
        <sz val="13"/>
        <color rgb="FF000000"/>
        <rFont val="Liberation Sans1"/>
        <family val="0"/>
      </rPr>
      <t xml:space="preserve">S</t>
    </r>
  </si>
  <si>
    <t xml:space="preserve">Day</t>
  </si>
  <si>
    <t xml:space="preserve">M</t>
  </si>
  <si>
    <t xml:space="preserve">delta</t>
  </si>
  <si>
    <t xml:space="preserve">tau</t>
  </si>
  <si>
    <t xml:space="preserve">sin h</t>
  </si>
  <si>
    <t xml:space="preserve">arctan2(2;1)</t>
  </si>
  <si>
    <t xml:space="preserve">sunpos</t>
  </si>
  <si>
    <t xml:space="preserve">JD+0,5</t>
  </si>
  <si>
    <t xml:space="preserve">A(?)</t>
  </si>
  <si>
    <t xml:space="preserve">E</t>
  </si>
  <si>
    <t xml:space="preserve">day</t>
  </si>
  <si>
    <t xml:space="preserve">month</t>
  </si>
  <si>
    <t xml:space="preserve">h</t>
  </si>
  <si>
    <t xml:space="preserve">m</t>
  </si>
  <si>
    <t xml:space="preserve">s</t>
  </si>
  <si>
    <t xml:space="preserve">year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</si>
</sst>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General"/>
    <numFmt numFmtId="166" formatCode="yyyy\-mm\-dd"/>
    <numFmt numFmtId="167" formatCode="0.00"/>
    <numFmt numFmtId="168" formatCode="0.0"/>
    <numFmt numFmtId="169" formatCode="#,##0"/>
    <numFmt numFmtId="170" formatCode="0"/>
    <numFmt numFmtId="171" formatCode="#,##0.00"/>
    <numFmt numFmtId="172" formatCode="0.000000"/>
    <numFmt numFmtId="173" formatCode="0.0000"/>
    <numFmt numFmtId="174" formatCode="0.000"/>
    <numFmt numFmtId="175" formatCode="#,##0.000"/>
    <numFmt numFmtId="176" formatCode="#,##0.0000"/>
    <numFmt numFmtId="177" formatCode="#,###"/>
    <numFmt numFmtId="178" formatCode="#,#00"/>
  </numFmts>
  <fonts count="33">
    <font>
      <sz val="12"/>
      <color rgb="FF000000"/>
      <name val="Liberation Sans1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0000"/>
      <name val="Liberation Sans1"/>
      <family val="0"/>
    </font>
    <font>
      <sz val="12"/>
      <color rgb="FFFF0000"/>
      <name val="Liberation Sans1"/>
      <family val="0"/>
    </font>
    <font>
      <sz val="10"/>
      <color rgb="FF000000"/>
      <name val="Liberation Sans1"/>
      <family val="0"/>
    </font>
    <font>
      <b val="true"/>
      <sz val="12"/>
      <color rgb="FF000000"/>
      <name val="Liberation Sans1"/>
      <family val="0"/>
    </font>
    <font>
      <b val="true"/>
      <sz val="11"/>
      <color rgb="FF000000"/>
      <name val="Liberation Sans1"/>
      <family val="0"/>
    </font>
    <font>
      <sz val="10"/>
      <color rgb="FF000000"/>
      <name val="Calibri"/>
      <family val="2"/>
    </font>
    <font>
      <b val="true"/>
      <sz val="11"/>
      <color rgb="FF000000"/>
      <name val="Calibri"/>
      <family val="2"/>
    </font>
    <font>
      <sz val="13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11"/>
      <color rgb="FF000000"/>
      <name val="Liberation Sans1"/>
      <family val="0"/>
    </font>
    <font>
      <sz val="11"/>
      <color rgb="FF0000FF"/>
      <name val="Liberation Sans1"/>
      <family val="0"/>
    </font>
    <font>
      <b val="true"/>
      <sz val="11"/>
      <color rgb="FFFF0000"/>
      <name val="Liberation Sans1"/>
      <family val="0"/>
    </font>
    <font>
      <b val="true"/>
      <sz val="11"/>
      <color rgb="FF0000FF"/>
      <name val="Liberation Sans1"/>
      <family val="0"/>
    </font>
    <font>
      <sz val="12"/>
      <color rgb="FF0000FF"/>
      <name val="Liberation Sans1"/>
      <family val="0"/>
    </font>
    <font>
      <b val="true"/>
      <sz val="12"/>
      <color rgb="FF0000FF"/>
      <name val="Liberation Sans1"/>
      <family val="0"/>
    </font>
    <font>
      <b val="true"/>
      <sz val="13"/>
      <color rgb="FFFF0000"/>
      <name val="Arial"/>
      <family val="0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 val="true"/>
      <sz val="11"/>
      <color rgb="FFFF0000"/>
      <name val="Calibri"/>
      <family val="2"/>
    </font>
    <font>
      <sz val="12"/>
      <color rgb="FFFF00FF"/>
      <name val="Liberation Sans1"/>
      <family val="0"/>
    </font>
    <font>
      <b val="true"/>
      <sz val="12"/>
      <color rgb="FFFF00FF"/>
      <name val="Liberation Sans1"/>
      <family val="0"/>
    </font>
    <font>
      <sz val="16"/>
      <color rgb="FF000000"/>
      <name val="Liberation Sans1"/>
      <family val="0"/>
    </font>
    <font>
      <vertAlign val="subscript"/>
      <sz val="13"/>
      <color rgb="FF000000"/>
      <name val="Liberation Sans1"/>
      <family val="0"/>
    </font>
    <font>
      <b val="true"/>
      <sz val="12"/>
      <color rgb="FFFF0000"/>
      <name val="Arial"/>
      <family val="2"/>
    </font>
    <font>
      <b val="true"/>
      <sz val="11"/>
      <name val="Arial"/>
      <family val="2"/>
    </font>
    <font>
      <b val="true"/>
      <sz val="11"/>
      <color rgb="FF0000FF"/>
      <name val="Arial"/>
      <family val="2"/>
    </font>
    <font>
      <b val="true"/>
      <sz val="12"/>
      <color rgb="FF0000FF"/>
      <name val="Calibri"/>
      <family val="2"/>
    </font>
    <font>
      <b val="true"/>
      <sz val="11"/>
      <color rgb="FFFF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04051244591785"/>
          <c:y val="0.0808024828197739"/>
          <c:w val="0.877563634320391"/>
          <c:h val="0.782420749279539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'elev  az  illum  rise  set'!$E$2:$E$99</c:f>
              <c:numCache>
                <c:formatCode>General</c:formatCode>
                <c:ptCount val="98"/>
                <c:pt idx="0">
                  <c:v>-14.2151784378867</c:v>
                </c:pt>
                <c:pt idx="1">
                  <c:v>-18.7472155193705</c:v>
                </c:pt>
                <c:pt idx="2">
                  <c:v>-23.2365858483119</c:v>
                </c:pt>
                <c:pt idx="3">
                  <c:v>-27.6299824805601</c:v>
                </c:pt>
                <c:pt idx="4">
                  <c:v>-31.8675576046992</c:v>
                </c:pt>
                <c:pt idx="5">
                  <c:v>-35.8797752818986</c:v>
                </c:pt>
                <c:pt idx="6">
                  <c:v>-39.5843916160344</c:v>
                </c:pt>
                <c:pt idx="7">
                  <c:v>-42.8844933879603</c:v>
                </c:pt>
                <c:pt idx="8">
                  <c:v>-45.6692546550902</c:v>
                </c:pt>
                <c:pt idx="9">
                  <c:v>-47.8199128277983</c:v>
                </c:pt>
                <c:pt idx="10">
                  <c:v>-49.2232523545706</c:v>
                </c:pt>
                <c:pt idx="11">
                  <c:v>-49.7919752075418</c:v>
                </c:pt>
                <c:pt idx="12">
                  <c:v>-49.4856390813864</c:v>
                </c:pt>
                <c:pt idx="13">
                  <c:v>-48.3217692166393</c:v>
                </c:pt>
                <c:pt idx="14">
                  <c:v>-46.3704535609855</c:v>
                </c:pt>
                <c:pt idx="15">
                  <c:v>-43.7357909086997</c:v>
                </c:pt>
                <c:pt idx="16">
                  <c:v>-40.5343082081261</c:v>
                </c:pt>
                <c:pt idx="17">
                  <c:v>-36.8786675162829</c:v>
                </c:pt>
                <c:pt idx="18">
                  <c:v>-32.8691332357903</c:v>
                </c:pt>
                <c:pt idx="19">
                  <c:v>-28.5911957183989</c:v>
                </c:pt>
                <c:pt idx="20">
                  <c:v>-24.1167455430255</c:v>
                </c:pt>
                <c:pt idx="21">
                  <c:v>-19.5068321638062</c:v>
                </c:pt>
                <c:pt idx="22">
                  <c:v>-14.8148850965183</c:v>
                </c:pt>
                <c:pt idx="23">
                  <c:v>-10.0877816041642</c:v>
                </c:pt>
                <c:pt idx="24">
                  <c:v>-5.26973521548014</c:v>
                </c:pt>
                <c:pt idx="25">
                  <c:v>0.00864991928557446</c:v>
                </c:pt>
                <c:pt idx="26">
                  <c:v>4.2390339251179</c:v>
                </c:pt>
                <c:pt idx="27">
                  <c:v>8.6392394009984</c:v>
                </c:pt>
                <c:pt idx="28">
                  <c:v>12.9106608104844</c:v>
                </c:pt>
                <c:pt idx="29">
                  <c:v>16.9633236693041</c:v>
                </c:pt>
                <c:pt idx="30">
                  <c:v>20.7273160358039</c:v>
                </c:pt>
                <c:pt idx="31">
                  <c:v>24.1318263690166</c:v>
                </c:pt>
                <c:pt idx="32">
                  <c:v>27.1022574740589</c:v>
                </c:pt>
                <c:pt idx="33">
                  <c:v>29.5620280800615</c:v>
                </c:pt>
                <c:pt idx="34">
                  <c:v>31.4373702915026</c:v>
                </c:pt>
                <c:pt idx="35">
                  <c:v>32.6645090031419</c:v>
                </c:pt>
                <c:pt idx="36">
                  <c:v>33.1979368259795</c:v>
                </c:pt>
                <c:pt idx="37">
                  <c:v>33.0175563754541</c:v>
                </c:pt>
                <c:pt idx="38">
                  <c:v>32.1322345353913</c:v>
                </c:pt>
                <c:pt idx="39">
                  <c:v>30.5783876010587</c:v>
                </c:pt>
                <c:pt idx="40">
                  <c:v>28.4141620714773</c:v>
                </c:pt>
                <c:pt idx="41">
                  <c:v>25.7113557165764</c:v>
                </c:pt>
                <c:pt idx="42">
                  <c:v>22.5475483557935</c:v>
                </c:pt>
                <c:pt idx="43">
                  <c:v>19.0001622861468</c:v>
                </c:pt>
                <c:pt idx="44">
                  <c:v>15.1432155888936</c:v>
                </c:pt>
                <c:pt idx="45">
                  <c:v>11.0473572842896</c:v>
                </c:pt>
                <c:pt idx="46">
                  <c:v>6.78680049700946</c:v>
                </c:pt>
                <c:pt idx="47">
                  <c:v>2.48578819891736</c:v>
                </c:pt>
                <c:pt idx="48">
                  <c:v>-1.59678181502914</c:v>
                </c:pt>
                <c:pt idx="49">
                  <c:v>-6.94775019230294</c:v>
                </c:pt>
                <c:pt idx="50">
                  <c:v>-11.5014090547761</c:v>
                </c:pt>
                <c:pt idx="51">
                  <c:v>-15.9846550002619</c:v>
                </c:pt>
                <c:pt idx="52">
                  <c:v>-20.3682166840312</c:v>
                </c:pt>
                <c:pt idx="53">
                  <c:v>-24.5951580658174</c:v>
                </c:pt>
                <c:pt idx="54">
                  <c:v>-28.6016223354239</c:v>
                </c:pt>
                <c:pt idx="55">
                  <c:v>-32.3152718197998</c:v>
                </c:pt>
                <c:pt idx="56">
                  <c:v>-35.6539811007496</c:v>
                </c:pt>
                <c:pt idx="57">
                  <c:v>-38.5264594608085</c:v>
                </c:pt>
                <c:pt idx="58">
                  <c:v>-40.8360913714679</c:v>
                </c:pt>
                <c:pt idx="59">
                  <c:v>-42.4891330988032</c:v>
                </c:pt>
                <c:pt idx="60">
                  <c:v>-43.4071399094328</c:v>
                </c:pt>
                <c:pt idx="61">
                  <c:v>-43.5409481611711</c:v>
                </c:pt>
                <c:pt idx="62">
                  <c:v>-42.8810899606958</c:v>
                </c:pt>
                <c:pt idx="63">
                  <c:v>-41.4597645422966</c:v>
                </c:pt>
                <c:pt idx="64">
                  <c:v>-39.3433610441844</c:v>
                </c:pt>
                <c:pt idx="65">
                  <c:v>-36.6192236866175</c:v>
                </c:pt>
                <c:pt idx="66">
                  <c:v>-33.3821247835483</c:v>
                </c:pt>
                <c:pt idx="67">
                  <c:v>-29.7242363478259</c:v>
                </c:pt>
                <c:pt idx="68">
                  <c:v>-25.7296234280471</c:v>
                </c:pt>
                <c:pt idx="69">
                  <c:v>-21.4724715802316</c:v>
                </c:pt>
                <c:pt idx="70">
                  <c:v>-17.0177580750802</c:v>
                </c:pt>
                <c:pt idx="71">
                  <c:v>-12.4229267226705</c:v>
                </c:pt>
                <c:pt idx="72">
                  <c:v>-7.72765637601777</c:v>
                </c:pt>
                <c:pt idx="73">
                  <c:v>-2.32801213036966</c:v>
                </c:pt>
                <c:pt idx="74">
                  <c:v>2.17255845693138</c:v>
                </c:pt>
                <c:pt idx="75">
                  <c:v>6.74658324916574</c:v>
                </c:pt>
                <c:pt idx="76">
                  <c:v>11.3544571620025</c:v>
                </c:pt>
                <c:pt idx="77">
                  <c:v>15.8617471115784</c:v>
                </c:pt>
                <c:pt idx="78">
                  <c:v>20.1980893395864</c:v>
                </c:pt>
                <c:pt idx="79">
                  <c:v>24.296924708063</c:v>
                </c:pt>
                <c:pt idx="80">
                  <c:v>28.0857973379722</c:v>
                </c:pt>
                <c:pt idx="81">
                  <c:v>31.4839426447358</c:v>
                </c:pt>
                <c:pt idx="82">
                  <c:v>34.4030277208391</c:v>
                </c:pt>
                <c:pt idx="83">
                  <c:v>36.7511779422082</c:v>
                </c:pt>
                <c:pt idx="84">
                  <c:v>38.440863239233</c:v>
                </c:pt>
                <c:pt idx="85">
                  <c:v>39.4001988945593</c:v>
                </c:pt>
                <c:pt idx="86">
                  <c:v>39.5851881869543</c:v>
                </c:pt>
                <c:pt idx="87">
                  <c:v>38.9886495021767</c:v>
                </c:pt>
                <c:pt idx="88">
                  <c:v>37.641934072681</c:v>
                </c:pt>
                <c:pt idx="89">
                  <c:v>35.6086167743542</c:v>
                </c:pt>
                <c:pt idx="90">
                  <c:v>32.9730513675402</c:v>
                </c:pt>
                <c:pt idx="91">
                  <c:v>29.8282536979501</c:v>
                </c:pt>
                <c:pt idx="92">
                  <c:v>26.2664654027945</c:v>
                </c:pt>
                <c:pt idx="93">
                  <c:v>22.3735938253224</c:v>
                </c:pt>
                <c:pt idx="94">
                  <c:v>18.227182042693</c:v>
                </c:pt>
                <c:pt idx="95">
                  <c:v>13.8972332448672</c:v>
                </c:pt>
                <c:pt idx="96">
                  <c:v>9.45053891437179</c:v>
                </c:pt>
                <c:pt idx="97">
                  <c:v>4.96768171498699</c:v>
                </c:pt>
              </c:numCache>
            </c:numRef>
          </c:yVal>
          <c:smooth val="0"/>
        </c:ser>
        <c:axId val="94144388"/>
        <c:axId val="57105544"/>
      </c:scatterChart>
      <c:valAx>
        <c:axId val="94144388"/>
        <c:scaling>
          <c:orientation val="minMax"/>
          <c:max val="48.5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76833174130472"/>
              <c:y val="0.78230990911106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7105544"/>
        <c:crosses val="autoZero"/>
        <c:crossBetween val="midCat"/>
        <c:majorUnit val="2"/>
      </c:valAx>
      <c:valAx>
        <c:axId val="5710554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elev_r</a:t>
                </a:r>
              </a:p>
            </c:rich>
          </c:tx>
          <c:layout>
            <c:manualLayout>
              <c:xMode val="edge"/>
              <c:yMode val="edge"/>
              <c:x val="0.0882171152441423"/>
              <c:y val="0.099201950786965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4144388"/>
        <c:crosses val="autoZero"/>
        <c:crossBetween val="midCat"/>
        <c:majorUnit val="1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567475211472747"/>
          <c:y val="0.05982716596499"/>
          <c:w val="0.896196291524284"/>
          <c:h val="0.775315754487038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'elev  az  illum  rise  set'!$F$2:$F$99</c:f>
              <c:numCache>
                <c:formatCode>General</c:formatCode>
                <c:ptCount val="98"/>
                <c:pt idx="0">
                  <c:v>269.266688654779</c:v>
                </c:pt>
                <c:pt idx="1">
                  <c:v>274.961037934045</c:v>
                </c:pt>
                <c:pt idx="2">
                  <c:v>280.843371510021</c:v>
                </c:pt>
                <c:pt idx="3">
                  <c:v>287.005179702724</c:v>
                </c:pt>
                <c:pt idx="4">
                  <c:v>293.547194038714</c:v>
                </c:pt>
                <c:pt idx="5">
                  <c:v>300.577914315158</c:v>
                </c:pt>
                <c:pt idx="6">
                  <c:v>308.207761462934</c:v>
                </c:pt>
                <c:pt idx="7">
                  <c:v>316.535573601218</c:v>
                </c:pt>
                <c:pt idx="8">
                  <c:v>325.624108821059</c:v>
                </c:pt>
                <c:pt idx="9">
                  <c:v>335.464559294186</c:v>
                </c:pt>
                <c:pt idx="10">
                  <c:v>345.939613412677</c:v>
                </c:pt>
                <c:pt idx="11">
                  <c:v>356.807849136116</c:v>
                </c:pt>
                <c:pt idx="12">
                  <c:v>7.7345357378413</c:v>
                </c:pt>
                <c:pt idx="13">
                  <c:v>18.3689766858071</c:v>
                </c:pt>
                <c:pt idx="14">
                  <c:v>28.4306690831734</c:v>
                </c:pt>
                <c:pt idx="15">
                  <c:v>37.7584768537834</c:v>
                </c:pt>
                <c:pt idx="16">
                  <c:v>46.309089417541</c:v>
                </c:pt>
                <c:pt idx="17">
                  <c:v>54.1244245060994</c:v>
                </c:pt>
                <c:pt idx="18">
                  <c:v>61.2938889602053</c:v>
                </c:pt>
                <c:pt idx="19">
                  <c:v>67.9257270091425</c:v>
                </c:pt>
                <c:pt idx="20">
                  <c:v>74.13003793932</c:v>
                </c:pt>
                <c:pt idx="21">
                  <c:v>80.0107505499391</c:v>
                </c:pt>
                <c:pt idx="22">
                  <c:v>85.6630623843265</c:v>
                </c:pt>
                <c:pt idx="23">
                  <c:v>91.1737234224602</c:v>
                </c:pt>
                <c:pt idx="24">
                  <c:v>96.6225533541507</c:v>
                </c:pt>
                <c:pt idx="25">
                  <c:v>102.084292052823</c:v>
                </c:pt>
                <c:pt idx="26">
                  <c:v>107.630278345382</c:v>
                </c:pt>
                <c:pt idx="27">
                  <c:v>113.329610636236</c:v>
                </c:pt>
                <c:pt idx="28">
                  <c:v>119.249454147782</c:v>
                </c:pt>
                <c:pt idx="29">
                  <c:v>125.454084767088</c:v>
                </c:pt>
                <c:pt idx="30">
                  <c:v>132.002155280216</c:v>
                </c:pt>
                <c:pt idx="31">
                  <c:v>138.941656709553</c:v>
                </c:pt>
                <c:pt idx="32">
                  <c:v>146.302318909582</c:v>
                </c:pt>
                <c:pt idx="33">
                  <c:v>154.08599239531</c:v>
                </c:pt>
                <c:pt idx="34">
                  <c:v>162.257022369434</c:v>
                </c:pt>
                <c:pt idx="35">
                  <c:v>170.736379342595</c:v>
                </c:pt>
                <c:pt idx="36">
                  <c:v>179.404066685872</c:v>
                </c:pt>
                <c:pt idx="37">
                  <c:v>188.112449192064</c:v>
                </c:pt>
                <c:pt idx="38">
                  <c:v>196.708429822172</c:v>
                </c:pt>
                <c:pt idx="39">
                  <c:v>205.057527985008</c:v>
                </c:pt>
                <c:pt idx="40">
                  <c:v>213.061774019885</c:v>
                </c:pt>
                <c:pt idx="41">
                  <c:v>220.666929182985</c:v>
                </c:pt>
                <c:pt idx="42">
                  <c:v>227.859813024785</c:v>
                </c:pt>
                <c:pt idx="43">
                  <c:v>234.659812384756</c:v>
                </c:pt>
                <c:pt idx="44">
                  <c:v>241.108901440709</c:v>
                </c:pt>
                <c:pt idx="45">
                  <c:v>247.262983016007</c:v>
                </c:pt>
                <c:pt idx="46">
                  <c:v>253.185665907558</c:v>
                </c:pt>
                <c:pt idx="47">
                  <c:v>258.944485803712</c:v>
                </c:pt>
                <c:pt idx="48">
                  <c:v>264.609086962795</c:v>
                </c:pt>
                <c:pt idx="49">
                  <c:v>270.250781930864</c:v>
                </c:pt>
                <c:pt idx="50">
                  <c:v>275.942964640374</c:v>
                </c:pt>
                <c:pt idx="51">
                  <c:v>281.761910571889</c:v>
                </c:pt>
                <c:pt idx="52">
                  <c:v>287.787491320714</c:v>
                </c:pt>
                <c:pt idx="53">
                  <c:v>294.103203448583</c:v>
                </c:pt>
                <c:pt idx="54">
                  <c:v>300.794643838627</c:v>
                </c:pt>
                <c:pt idx="55">
                  <c:v>307.945181958824</c:v>
                </c:pt>
                <c:pt idx="56">
                  <c:v>315.627258140191</c:v>
                </c:pt>
                <c:pt idx="57">
                  <c:v>323.887966734152</c:v>
                </c:pt>
                <c:pt idx="58">
                  <c:v>332.729272602867</c:v>
                </c:pt>
                <c:pt idx="59">
                  <c:v>342.0872239275</c:v>
                </c:pt>
                <c:pt idx="60">
                  <c:v>351.819990976572</c:v>
                </c:pt>
                <c:pt idx="61">
                  <c:v>1.71682859105152</c:v>
                </c:pt>
                <c:pt idx="62">
                  <c:v>11.5328154740282</c:v>
                </c:pt>
                <c:pt idx="63">
                  <c:v>21.0385160382342</c:v>
                </c:pt>
                <c:pt idx="64">
                  <c:v>30.0626841104788</c:v>
                </c:pt>
                <c:pt idx="65">
                  <c:v>38.511414199986</c:v>
                </c:pt>
                <c:pt idx="66">
                  <c:v>46.3630022818484</c:v>
                </c:pt>
                <c:pt idx="67">
                  <c:v>53.6491579465884</c:v>
                </c:pt>
                <c:pt idx="68">
                  <c:v>60.4340398155096</c:v>
                </c:pt>
                <c:pt idx="69">
                  <c:v>66.7975904624967</c:v>
                </c:pt>
                <c:pt idx="70">
                  <c:v>72.8247915738335</c:v>
                </c:pt>
                <c:pt idx="71">
                  <c:v>78.5999331385386</c:v>
                </c:pt>
                <c:pt idx="72">
                  <c:v>84.2043272059264</c:v>
                </c:pt>
                <c:pt idx="73">
                  <c:v>89.7160943141695</c:v>
                </c:pt>
                <c:pt idx="74">
                  <c:v>95.2110532307478</c:v>
                </c:pt>
                <c:pt idx="75">
                  <c:v>100.764075828514</c:v>
                </c:pt>
                <c:pt idx="76">
                  <c:v>106.450455076206</c:v>
                </c:pt>
                <c:pt idx="77">
                  <c:v>112.346872910495</c:v>
                </c:pt>
                <c:pt idx="78">
                  <c:v>118.531457104577</c:v>
                </c:pt>
                <c:pt idx="79">
                  <c:v>125.08219973862</c:v>
                </c:pt>
                <c:pt idx="80">
                  <c:v>132.072733668211</c:v>
                </c:pt>
                <c:pt idx="81">
                  <c:v>139.564309178</c:v>
                </c:pt>
                <c:pt idx="82">
                  <c:v>147.593195315211</c:v>
                </c:pt>
                <c:pt idx="83">
                  <c:v>156.154301844083</c:v>
                </c:pt>
                <c:pt idx="84">
                  <c:v>165.18501893761</c:v>
                </c:pt>
                <c:pt idx="85">
                  <c:v>174.557116925978</c:v>
                </c:pt>
                <c:pt idx="86">
                  <c:v>184.085547096609</c:v>
                </c:pt>
                <c:pt idx="87">
                  <c:v>193.557102353594</c:v>
                </c:pt>
                <c:pt idx="88">
                  <c:v>202.770484303509</c:v>
                </c:pt>
                <c:pt idx="89">
                  <c:v>211.571463288756</c:v>
                </c:pt>
                <c:pt idx="90">
                  <c:v>219.870294715537</c:v>
                </c:pt>
                <c:pt idx="91">
                  <c:v>227.639818531675</c:v>
                </c:pt>
                <c:pt idx="92">
                  <c:v>234.901556696805</c:v>
                </c:pt>
                <c:pt idx="93">
                  <c:v>241.708690003762</c:v>
                </c:pt>
                <c:pt idx="94">
                  <c:v>248.131591914437</c:v>
                </c:pt>
                <c:pt idx="95">
                  <c:v>254.247864580311</c:v>
                </c:pt>
                <c:pt idx="96">
                  <c:v>260.136565908432</c:v>
                </c:pt>
                <c:pt idx="97">
                  <c:v>265.87551167859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000000"/>
            </a:solidFill>
            <a:ln w="288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'elev  az  illum  rise  set'!$R$2:$R$99</c:f>
              <c:numCache>
                <c:formatCode>General</c:formatCode>
                <c:ptCount val="98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180</c:v>
                </c:pt>
                <c:pt idx="33">
                  <c:v>180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180</c:v>
                </c:pt>
                <c:pt idx="55">
                  <c:v>180</c:v>
                </c:pt>
                <c:pt idx="56">
                  <c:v>180</c:v>
                </c:pt>
                <c:pt idx="57">
                  <c:v>180</c:v>
                </c:pt>
                <c:pt idx="58">
                  <c:v>180</c:v>
                </c:pt>
                <c:pt idx="59">
                  <c:v>180</c:v>
                </c:pt>
                <c:pt idx="60">
                  <c:v>180</c:v>
                </c:pt>
                <c:pt idx="61">
                  <c:v>180</c:v>
                </c:pt>
                <c:pt idx="62">
                  <c:v>180</c:v>
                </c:pt>
                <c:pt idx="63">
                  <c:v>180</c:v>
                </c:pt>
                <c:pt idx="64">
                  <c:v>180</c:v>
                </c:pt>
                <c:pt idx="65">
                  <c:v>180</c:v>
                </c:pt>
                <c:pt idx="66">
                  <c:v>180</c:v>
                </c:pt>
                <c:pt idx="67">
                  <c:v>180</c:v>
                </c:pt>
                <c:pt idx="68">
                  <c:v>180</c:v>
                </c:pt>
                <c:pt idx="69">
                  <c:v>180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180</c:v>
                </c:pt>
                <c:pt idx="74">
                  <c:v>180</c:v>
                </c:pt>
                <c:pt idx="75">
                  <c:v>180</c:v>
                </c:pt>
                <c:pt idx="76">
                  <c:v>180</c:v>
                </c:pt>
                <c:pt idx="77">
                  <c:v>180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180</c:v>
                </c:pt>
                <c:pt idx="83">
                  <c:v>180</c:v>
                </c:pt>
                <c:pt idx="84">
                  <c:v>180</c:v>
                </c:pt>
                <c:pt idx="85">
                  <c:v>180</c:v>
                </c:pt>
                <c:pt idx="86">
                  <c:v>180</c:v>
                </c:pt>
                <c:pt idx="87">
                  <c:v>180</c:v>
                </c:pt>
                <c:pt idx="88">
                  <c:v>180</c:v>
                </c:pt>
                <c:pt idx="89">
                  <c:v>180</c:v>
                </c:pt>
                <c:pt idx="90">
                  <c:v>180</c:v>
                </c:pt>
                <c:pt idx="91">
                  <c:v>180</c:v>
                </c:pt>
                <c:pt idx="92">
                  <c:v>180</c:v>
                </c:pt>
                <c:pt idx="93">
                  <c:v>180</c:v>
                </c:pt>
                <c:pt idx="94">
                  <c:v>180</c:v>
                </c:pt>
                <c:pt idx="95">
                  <c:v>180</c:v>
                </c:pt>
                <c:pt idx="96">
                  <c:v>180</c:v>
                </c:pt>
                <c:pt idx="97">
                  <c:v>180</c:v>
                </c:pt>
              </c:numCache>
            </c:numRef>
          </c:yVal>
          <c:smooth val="0"/>
        </c:ser>
        <c:axId val="34098279"/>
        <c:axId val="3027251"/>
      </c:scatterChart>
      <c:valAx>
        <c:axId val="34098279"/>
        <c:scaling>
          <c:orientation val="minMax"/>
          <c:max val="48.5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910313147722817"/>
              <c:y val="0.76800354531353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027251"/>
        <c:crosses val="autoZero"/>
        <c:crossBetween val="midCat"/>
        <c:majorUnit val="2"/>
      </c:valAx>
      <c:valAx>
        <c:axId val="3027251"/>
        <c:scaling>
          <c:orientation val="minMax"/>
          <c:max val="36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0691837992269341"/>
              <c:y val="0.047640150675825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4098279"/>
        <c:crosses val="autoZero"/>
        <c:crossBetween val="midCat"/>
        <c:majorUnit val="3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Topocentric Distance</a:t>
            </a:r>
          </a:p>
        </c:rich>
      </c:tx>
      <c:layout>
        <c:manualLayout>
          <c:xMode val="edge"/>
          <c:yMode val="edge"/>
          <c:x val="0.366047156726768"/>
          <c:y val="0.024980784012298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9680998613"/>
          <c:y val="0.0984819369715603"/>
          <c:w val="0.861137309292649"/>
          <c:h val="0.81888931591083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28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calc!$A$2:$A$99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calc!$BD$2:$BD$99</c:f>
              <c:numCache>
                <c:formatCode>General</c:formatCode>
                <c:ptCount val="98"/>
                <c:pt idx="0">
                  <c:v>377000.962663731</c:v>
                </c:pt>
                <c:pt idx="1">
                  <c:v>377571.426209955</c:v>
                </c:pt>
                <c:pt idx="2">
                  <c:v>378124.729537724</c:v>
                </c:pt>
                <c:pt idx="3">
                  <c:v>378653.205776625</c:v>
                </c:pt>
                <c:pt idx="4">
                  <c:v>379149.601469743</c:v>
                </c:pt>
                <c:pt idx="5">
                  <c:v>379607.187015048</c:v>
                </c:pt>
                <c:pt idx="6">
                  <c:v>380019.857860105</c:v>
                </c:pt>
                <c:pt idx="7">
                  <c:v>380382.22520886</c:v>
                </c:pt>
                <c:pt idx="8">
                  <c:v>380689.695449182</c:v>
                </c:pt>
                <c:pt idx="9">
                  <c:v>380938.537378794</c:v>
                </c:pt>
                <c:pt idx="10">
                  <c:v>381125.936546659</c:v>
                </c:pt>
                <c:pt idx="11">
                  <c:v>381250.03633323</c:v>
                </c:pt>
                <c:pt idx="12">
                  <c:v>381309.965306153</c:v>
                </c:pt>
                <c:pt idx="13">
                  <c:v>381305.850608129</c:v>
                </c:pt>
                <c:pt idx="14">
                  <c:v>381238.81729229</c:v>
                </c:pt>
                <c:pt idx="15">
                  <c:v>381110.973524588</c:v>
                </c:pt>
                <c:pt idx="16">
                  <c:v>380925.381787818</c:v>
                </c:pt>
                <c:pt idx="17">
                  <c:v>380686.016266807</c:v>
                </c:pt>
                <c:pt idx="18">
                  <c:v>380397.706733468</c:v>
                </c:pt>
                <c:pt idx="19">
                  <c:v>380066.069483208</c:v>
                </c:pt>
                <c:pt idx="20">
                  <c:v>379697.425852133</c:v>
                </c:pt>
                <c:pt idx="21">
                  <c:v>379298.709141915</c:v>
                </c:pt>
                <c:pt idx="22">
                  <c:v>378877.361033667</c:v>
                </c:pt>
                <c:pt idx="23">
                  <c:v>378441.218527388</c:v>
                </c:pt>
                <c:pt idx="24">
                  <c:v>377998.392869634</c:v>
                </c:pt>
                <c:pt idx="25">
                  <c:v>377557.14218462</c:v>
                </c:pt>
                <c:pt idx="26">
                  <c:v>377125.739462678</c:v>
                </c:pt>
                <c:pt idx="27">
                  <c:v>376712.338029143</c:v>
                </c:pt>
                <c:pt idx="28">
                  <c:v>376324.836796554</c:v>
                </c:pt>
                <c:pt idx="29">
                  <c:v>375970.747486168</c:v>
                </c:pt>
                <c:pt idx="30">
                  <c:v>375657.066383653</c:v>
                </c:pt>
                <c:pt idx="31">
                  <c:v>375390.153194955</c:v>
                </c:pt>
                <c:pt idx="32">
                  <c:v>375175.619342011</c:v>
                </c:pt>
                <c:pt idx="33">
                  <c:v>375018.228180028</c:v>
                </c:pt>
                <c:pt idx="34">
                  <c:v>374921.809366799</c:v>
                </c:pt>
                <c:pt idx="35">
                  <c:v>374889.189253582</c:v>
                </c:pt>
                <c:pt idx="36">
                  <c:v>374922.139001541</c:v>
                </c:pt>
                <c:pt idx="37">
                  <c:v>375021.341640316</c:v>
                </c:pt>
                <c:pt idx="38">
                  <c:v>375186.378855376</c:v>
                </c:pt>
                <c:pt idx="39">
                  <c:v>375415.737871637</c:v>
                </c:pt>
                <c:pt idx="40">
                  <c:v>375706.838208545</c:v>
                </c:pt>
                <c:pt idx="41">
                  <c:v>376056.077736064</c:v>
                </c:pt>
                <c:pt idx="42">
                  <c:v>376458.896939262</c:v>
                </c:pt>
                <c:pt idx="43">
                  <c:v>376909.859792571</c:v>
                </c:pt>
                <c:pt idx="44">
                  <c:v>377402.749539371</c:v>
                </c:pt>
                <c:pt idx="45">
                  <c:v>377930.677205899</c:v>
                </c:pt>
                <c:pt idx="46">
                  <c:v>378486.200399316</c:v>
                </c:pt>
                <c:pt idx="47">
                  <c:v>379061.450138988</c:v>
                </c:pt>
                <c:pt idx="48">
                  <c:v>379648.263136089</c:v>
                </c:pt>
                <c:pt idx="49">
                  <c:v>380238.316911078</c:v>
                </c:pt>
                <c:pt idx="50">
                  <c:v>380823.265597249</c:v>
                </c:pt>
                <c:pt idx="51">
                  <c:v>381394.873967292</c:v>
                </c:pt>
                <c:pt idx="52">
                  <c:v>381945.147656396</c:v>
                </c:pt>
                <c:pt idx="53">
                  <c:v>382466.457657668</c:v>
                </c:pt>
                <c:pt idx="54">
                  <c:v>382951.657386431</c:v>
                </c:pt>
                <c:pt idx="55">
                  <c:v>383394.190821706</c:v>
                </c:pt>
                <c:pt idx="56">
                  <c:v>383788.19044239</c:v>
                </c:pt>
                <c:pt idx="57">
                  <c:v>384128.563876403</c:v>
                </c:pt>
                <c:pt idx="58">
                  <c:v>384411.068367832</c:v>
                </c:pt>
                <c:pt idx="59">
                  <c:v>384632.372339974</c:v>
                </c:pt>
                <c:pt idx="60">
                  <c:v>384790.103488238</c:v>
                </c:pt>
                <c:pt idx="61">
                  <c:v>384882.882979321</c:v>
                </c:pt>
                <c:pt idx="62">
                  <c:v>384910.345462277</c:v>
                </c:pt>
                <c:pt idx="63">
                  <c:v>384873.144717838</c:v>
                </c:pt>
                <c:pt idx="64">
                  <c:v>384772.944887458</c:v>
                </c:pt>
                <c:pt idx="65">
                  <c:v>384612.39733747</c:v>
                </c:pt>
                <c:pt idx="66">
                  <c:v>384395.103330889</c:v>
                </c:pt>
                <c:pt idx="67">
                  <c:v>384125.562804125</c:v>
                </c:pt>
                <c:pt idx="68">
                  <c:v>383809.109681262</c:v>
                </c:pt>
                <c:pt idx="69">
                  <c:v>383451.834308056</c:v>
                </c:pt>
                <c:pt idx="70">
                  <c:v>383060.493753243</c:v>
                </c:pt>
                <c:pt idx="71">
                  <c:v>382642.410906082</c:v>
                </c:pt>
                <c:pt idx="72">
                  <c:v>382205.363497039</c:v>
                </c:pt>
                <c:pt idx="73">
                  <c:v>381757.46437729</c:v>
                </c:pt>
                <c:pt idx="74">
                  <c:v>381307.03461131</c:v>
                </c:pt>
                <c:pt idx="75">
                  <c:v>380862.471154768</c:v>
                </c:pt>
                <c:pt idx="76">
                  <c:v>380432.111101604</c:v>
                </c:pt>
                <c:pt idx="77">
                  <c:v>380024.094677653</c:v>
                </c:pt>
                <c:pt idx="78">
                  <c:v>379646.229321344</c:v>
                </c:pt>
                <c:pt idx="79">
                  <c:v>379305.85731498</c:v>
                </c:pt>
                <c:pt idx="80">
                  <c:v>379009.729498363</c:v>
                </c:pt>
                <c:pt idx="81">
                  <c:v>378763.887602057</c:v>
                </c:pt>
                <c:pt idx="82">
                  <c:v>378573.557668879</c:v>
                </c:pt>
                <c:pt idx="83">
                  <c:v>378443.056886712</c:v>
                </c:pt>
                <c:pt idx="84">
                  <c:v>378375.715929997</c:v>
                </c:pt>
                <c:pt idx="85">
                  <c:v>378373.818605632</c:v>
                </c:pt>
                <c:pt idx="86">
                  <c:v>378438.560227554</c:v>
                </c:pt>
                <c:pt idx="87">
                  <c:v>378570.025717354</c:v>
                </c:pt>
                <c:pt idx="88">
                  <c:v>378767.187959722</c:v>
                </c:pt>
                <c:pt idx="89">
                  <c:v>379027.926451656</c:v>
                </c:pt>
                <c:pt idx="90">
                  <c:v>379349.065793065</c:v>
                </c:pt>
                <c:pt idx="91">
                  <c:v>379726.433093983</c:v>
                </c:pt>
                <c:pt idx="92">
                  <c:v>380154.932939546</c:v>
                </c:pt>
                <c:pt idx="93">
                  <c:v>380628.638174361</c:v>
                </c:pt>
                <c:pt idx="94">
                  <c:v>381140.894455975</c:v>
                </c:pt>
                <c:pt idx="95">
                  <c:v>381684.436289641</c:v>
                </c:pt>
                <c:pt idx="96">
                  <c:v>382251.51209984</c:v>
                </c:pt>
                <c:pt idx="97">
                  <c:v>382834.015813702</c:v>
                </c:pt>
              </c:numCache>
            </c:numRef>
          </c:yVal>
          <c:smooth val="0"/>
        </c:ser>
        <c:axId val="70825313"/>
        <c:axId val="33637721"/>
      </c:scatterChart>
      <c:valAx>
        <c:axId val="70825313"/>
        <c:scaling>
          <c:orientation val="minMax"/>
          <c:max val="48"/>
          <c:min val="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98973647711512"/>
              <c:y val="0.82753651037663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3637721"/>
        <c:crosses val="autoZero"/>
        <c:crossBetween val="between"/>
        <c:majorUnit val="2"/>
      </c:valAx>
      <c:valAx>
        <c:axId val="3363772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km</a:t>
                </a:r>
              </a:p>
            </c:rich>
          </c:tx>
          <c:layout>
            <c:manualLayout>
              <c:xMode val="edge"/>
              <c:yMode val="edge"/>
              <c:x val="0.116171983356449"/>
              <c:y val="0.116256725595696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082531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Topocentric Distance</a:t>
            </a:r>
          </a:p>
        </c:rich>
      </c:tx>
      <c:layout>
        <c:manualLayout>
          <c:xMode val="edge"/>
          <c:yMode val="edge"/>
          <c:x val="0.366078372719115"/>
          <c:y val="0.024980784012298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73048160335"/>
          <c:y val="0.0984819369715603"/>
          <c:w val="0.861142686209991"/>
          <c:h val="0.81888931591083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28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calc!$A$2:$A$99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calc!$BD$2:$BD$99</c:f>
              <c:numCache>
                <c:formatCode>General</c:formatCode>
                <c:ptCount val="98"/>
                <c:pt idx="0">
                  <c:v>377000.962663731</c:v>
                </c:pt>
                <c:pt idx="1">
                  <c:v>377571.426209955</c:v>
                </c:pt>
                <c:pt idx="2">
                  <c:v>378124.729537724</c:v>
                </c:pt>
                <c:pt idx="3">
                  <c:v>378653.205776625</c:v>
                </c:pt>
                <c:pt idx="4">
                  <c:v>379149.601469743</c:v>
                </c:pt>
                <c:pt idx="5">
                  <c:v>379607.187015048</c:v>
                </c:pt>
                <c:pt idx="6">
                  <c:v>380019.857860105</c:v>
                </c:pt>
                <c:pt idx="7">
                  <c:v>380382.22520886</c:v>
                </c:pt>
                <c:pt idx="8">
                  <c:v>380689.695449182</c:v>
                </c:pt>
                <c:pt idx="9">
                  <c:v>380938.537378794</c:v>
                </c:pt>
                <c:pt idx="10">
                  <c:v>381125.936546659</c:v>
                </c:pt>
                <c:pt idx="11">
                  <c:v>381250.03633323</c:v>
                </c:pt>
                <c:pt idx="12">
                  <c:v>381309.965306153</c:v>
                </c:pt>
                <c:pt idx="13">
                  <c:v>381305.850608129</c:v>
                </c:pt>
                <c:pt idx="14">
                  <c:v>381238.81729229</c:v>
                </c:pt>
                <c:pt idx="15">
                  <c:v>381110.973524588</c:v>
                </c:pt>
                <c:pt idx="16">
                  <c:v>380925.381787818</c:v>
                </c:pt>
                <c:pt idx="17">
                  <c:v>380686.016266807</c:v>
                </c:pt>
                <c:pt idx="18">
                  <c:v>380397.706733468</c:v>
                </c:pt>
                <c:pt idx="19">
                  <c:v>380066.069483208</c:v>
                </c:pt>
                <c:pt idx="20">
                  <c:v>379697.425852133</c:v>
                </c:pt>
                <c:pt idx="21">
                  <c:v>379298.709141915</c:v>
                </c:pt>
                <c:pt idx="22">
                  <c:v>378877.361033667</c:v>
                </c:pt>
                <c:pt idx="23">
                  <c:v>378441.218527388</c:v>
                </c:pt>
                <c:pt idx="24">
                  <c:v>377998.392869634</c:v>
                </c:pt>
                <c:pt idx="25">
                  <c:v>377557.14218462</c:v>
                </c:pt>
                <c:pt idx="26">
                  <c:v>377125.739462678</c:v>
                </c:pt>
                <c:pt idx="27">
                  <c:v>376712.338029143</c:v>
                </c:pt>
                <c:pt idx="28">
                  <c:v>376324.836796554</c:v>
                </c:pt>
                <c:pt idx="29">
                  <c:v>375970.747486168</c:v>
                </c:pt>
                <c:pt idx="30">
                  <c:v>375657.066383653</c:v>
                </c:pt>
                <c:pt idx="31">
                  <c:v>375390.153194955</c:v>
                </c:pt>
                <c:pt idx="32">
                  <c:v>375175.619342011</c:v>
                </c:pt>
                <c:pt idx="33">
                  <c:v>375018.228180028</c:v>
                </c:pt>
                <c:pt idx="34">
                  <c:v>374921.809366799</c:v>
                </c:pt>
                <c:pt idx="35">
                  <c:v>374889.189253582</c:v>
                </c:pt>
                <c:pt idx="36">
                  <c:v>374922.139001541</c:v>
                </c:pt>
                <c:pt idx="37">
                  <c:v>375021.341640316</c:v>
                </c:pt>
                <c:pt idx="38">
                  <c:v>375186.378855376</c:v>
                </c:pt>
                <c:pt idx="39">
                  <c:v>375415.737871637</c:v>
                </c:pt>
                <c:pt idx="40">
                  <c:v>375706.838208545</c:v>
                </c:pt>
                <c:pt idx="41">
                  <c:v>376056.077736064</c:v>
                </c:pt>
                <c:pt idx="42">
                  <c:v>376458.896939262</c:v>
                </c:pt>
                <c:pt idx="43">
                  <c:v>376909.859792571</c:v>
                </c:pt>
                <c:pt idx="44">
                  <c:v>377402.749539371</c:v>
                </c:pt>
                <c:pt idx="45">
                  <c:v>377930.677205899</c:v>
                </c:pt>
                <c:pt idx="46">
                  <c:v>378486.200399316</c:v>
                </c:pt>
                <c:pt idx="47">
                  <c:v>379061.450138988</c:v>
                </c:pt>
                <c:pt idx="48">
                  <c:v>379648.263136089</c:v>
                </c:pt>
                <c:pt idx="49">
                  <c:v>380238.316911078</c:v>
                </c:pt>
                <c:pt idx="50">
                  <c:v>380823.265597249</c:v>
                </c:pt>
                <c:pt idx="51">
                  <c:v>381394.873967292</c:v>
                </c:pt>
                <c:pt idx="52">
                  <c:v>381945.147656396</c:v>
                </c:pt>
                <c:pt idx="53">
                  <c:v>382466.457657668</c:v>
                </c:pt>
                <c:pt idx="54">
                  <c:v>382951.657386431</c:v>
                </c:pt>
                <c:pt idx="55">
                  <c:v>383394.190821706</c:v>
                </c:pt>
                <c:pt idx="56">
                  <c:v>383788.19044239</c:v>
                </c:pt>
                <c:pt idx="57">
                  <c:v>384128.563876403</c:v>
                </c:pt>
                <c:pt idx="58">
                  <c:v>384411.068367832</c:v>
                </c:pt>
                <c:pt idx="59">
                  <c:v>384632.372339974</c:v>
                </c:pt>
                <c:pt idx="60">
                  <c:v>384790.103488238</c:v>
                </c:pt>
                <c:pt idx="61">
                  <c:v>384882.882979321</c:v>
                </c:pt>
                <c:pt idx="62">
                  <c:v>384910.345462277</c:v>
                </c:pt>
                <c:pt idx="63">
                  <c:v>384873.144717838</c:v>
                </c:pt>
                <c:pt idx="64">
                  <c:v>384772.944887458</c:v>
                </c:pt>
                <c:pt idx="65">
                  <c:v>384612.39733747</c:v>
                </c:pt>
                <c:pt idx="66">
                  <c:v>384395.103330889</c:v>
                </c:pt>
                <c:pt idx="67">
                  <c:v>384125.562804125</c:v>
                </c:pt>
                <c:pt idx="68">
                  <c:v>383809.109681262</c:v>
                </c:pt>
                <c:pt idx="69">
                  <c:v>383451.834308056</c:v>
                </c:pt>
                <c:pt idx="70">
                  <c:v>383060.493753243</c:v>
                </c:pt>
                <c:pt idx="71">
                  <c:v>382642.410906082</c:v>
                </c:pt>
                <c:pt idx="72">
                  <c:v>382205.363497039</c:v>
                </c:pt>
                <c:pt idx="73">
                  <c:v>381757.46437729</c:v>
                </c:pt>
                <c:pt idx="74">
                  <c:v>381307.03461131</c:v>
                </c:pt>
                <c:pt idx="75">
                  <c:v>380862.471154768</c:v>
                </c:pt>
                <c:pt idx="76">
                  <c:v>380432.111101604</c:v>
                </c:pt>
                <c:pt idx="77">
                  <c:v>380024.094677653</c:v>
                </c:pt>
                <c:pt idx="78">
                  <c:v>379646.229321344</c:v>
                </c:pt>
                <c:pt idx="79">
                  <c:v>379305.85731498</c:v>
                </c:pt>
                <c:pt idx="80">
                  <c:v>379009.729498363</c:v>
                </c:pt>
                <c:pt idx="81">
                  <c:v>378763.887602057</c:v>
                </c:pt>
                <c:pt idx="82">
                  <c:v>378573.557668879</c:v>
                </c:pt>
                <c:pt idx="83">
                  <c:v>378443.056886712</c:v>
                </c:pt>
                <c:pt idx="84">
                  <c:v>378375.715929997</c:v>
                </c:pt>
                <c:pt idx="85">
                  <c:v>378373.818605632</c:v>
                </c:pt>
                <c:pt idx="86">
                  <c:v>378438.560227554</c:v>
                </c:pt>
                <c:pt idx="87">
                  <c:v>378570.025717354</c:v>
                </c:pt>
                <c:pt idx="88">
                  <c:v>378767.187959722</c:v>
                </c:pt>
                <c:pt idx="89">
                  <c:v>379027.926451656</c:v>
                </c:pt>
                <c:pt idx="90">
                  <c:v>379349.065793065</c:v>
                </c:pt>
                <c:pt idx="91">
                  <c:v>379726.433093983</c:v>
                </c:pt>
                <c:pt idx="92">
                  <c:v>380154.932939546</c:v>
                </c:pt>
                <c:pt idx="93">
                  <c:v>380628.638174361</c:v>
                </c:pt>
                <c:pt idx="94">
                  <c:v>381140.894455975</c:v>
                </c:pt>
                <c:pt idx="95">
                  <c:v>381684.436289641</c:v>
                </c:pt>
                <c:pt idx="96">
                  <c:v>382251.51209984</c:v>
                </c:pt>
                <c:pt idx="97">
                  <c:v>382834.015813702</c:v>
                </c:pt>
              </c:numCache>
            </c:numRef>
          </c:yVal>
          <c:smooth val="0"/>
        </c:ser>
        <c:axId val="86283492"/>
        <c:axId val="15868609"/>
      </c:scatterChart>
      <c:valAx>
        <c:axId val="86283492"/>
        <c:scaling>
          <c:orientation val="minMax"/>
          <c:max val="48"/>
          <c:min val="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99012862698175"/>
              <c:y val="0.82753651037663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5868609"/>
        <c:crosses val="autoZero"/>
        <c:crossBetween val="between"/>
        <c:majorUnit val="2"/>
      </c:valAx>
      <c:valAx>
        <c:axId val="1586860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km</a:t>
                </a:r>
              </a:p>
            </c:rich>
          </c:tx>
          <c:layout>
            <c:manualLayout>
              <c:xMode val="edge"/>
              <c:yMode val="edge"/>
              <c:x val="0.116183069099611"/>
              <c:y val="0.116256725595696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6283492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05068588700302"/>
          <c:y val="0.081024163156728"/>
          <c:w val="0.867588932806324"/>
          <c:h val="0.782199068942585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'elev  az  illum  rise  set'!$E$2:$E$99</c:f>
              <c:numCache>
                <c:formatCode>General</c:formatCode>
                <c:ptCount val="98"/>
                <c:pt idx="0">
                  <c:v>-14.2151784378867</c:v>
                </c:pt>
                <c:pt idx="1">
                  <c:v>-18.7472155193705</c:v>
                </c:pt>
                <c:pt idx="2">
                  <c:v>-23.2365858483119</c:v>
                </c:pt>
                <c:pt idx="3">
                  <c:v>-27.6299824805601</c:v>
                </c:pt>
                <c:pt idx="4">
                  <c:v>-31.8675576046992</c:v>
                </c:pt>
                <c:pt idx="5">
                  <c:v>-35.8797752818986</c:v>
                </c:pt>
                <c:pt idx="6">
                  <c:v>-39.5843916160344</c:v>
                </c:pt>
                <c:pt idx="7">
                  <c:v>-42.8844933879603</c:v>
                </c:pt>
                <c:pt idx="8">
                  <c:v>-45.6692546550902</c:v>
                </c:pt>
                <c:pt idx="9">
                  <c:v>-47.8199128277983</c:v>
                </c:pt>
                <c:pt idx="10">
                  <c:v>-49.2232523545706</c:v>
                </c:pt>
                <c:pt idx="11">
                  <c:v>-49.7919752075418</c:v>
                </c:pt>
                <c:pt idx="12">
                  <c:v>-49.4856390813864</c:v>
                </c:pt>
                <c:pt idx="13">
                  <c:v>-48.3217692166393</c:v>
                </c:pt>
                <c:pt idx="14">
                  <c:v>-46.3704535609855</c:v>
                </c:pt>
                <c:pt idx="15">
                  <c:v>-43.7357909086997</c:v>
                </c:pt>
                <c:pt idx="16">
                  <c:v>-40.5343082081261</c:v>
                </c:pt>
                <c:pt idx="17">
                  <c:v>-36.8786675162829</c:v>
                </c:pt>
                <c:pt idx="18">
                  <c:v>-32.8691332357903</c:v>
                </c:pt>
                <c:pt idx="19">
                  <c:v>-28.5911957183989</c:v>
                </c:pt>
                <c:pt idx="20">
                  <c:v>-24.1167455430255</c:v>
                </c:pt>
                <c:pt idx="21">
                  <c:v>-19.5068321638062</c:v>
                </c:pt>
                <c:pt idx="22">
                  <c:v>-14.8148850965183</c:v>
                </c:pt>
                <c:pt idx="23">
                  <c:v>-10.0877816041642</c:v>
                </c:pt>
                <c:pt idx="24">
                  <c:v>-5.26973521548014</c:v>
                </c:pt>
                <c:pt idx="25">
                  <c:v>0.00864991928557446</c:v>
                </c:pt>
                <c:pt idx="26">
                  <c:v>4.2390339251179</c:v>
                </c:pt>
                <c:pt idx="27">
                  <c:v>8.6392394009984</c:v>
                </c:pt>
                <c:pt idx="28">
                  <c:v>12.9106608104844</c:v>
                </c:pt>
                <c:pt idx="29">
                  <c:v>16.9633236693041</c:v>
                </c:pt>
                <c:pt idx="30">
                  <c:v>20.7273160358039</c:v>
                </c:pt>
                <c:pt idx="31">
                  <c:v>24.1318263690166</c:v>
                </c:pt>
                <c:pt idx="32">
                  <c:v>27.1022574740589</c:v>
                </c:pt>
                <c:pt idx="33">
                  <c:v>29.5620280800615</c:v>
                </c:pt>
                <c:pt idx="34">
                  <c:v>31.4373702915026</c:v>
                </c:pt>
                <c:pt idx="35">
                  <c:v>32.6645090031419</c:v>
                </c:pt>
                <c:pt idx="36">
                  <c:v>33.1979368259795</c:v>
                </c:pt>
                <c:pt idx="37">
                  <c:v>33.0175563754541</c:v>
                </c:pt>
                <c:pt idx="38">
                  <c:v>32.1322345353913</c:v>
                </c:pt>
                <c:pt idx="39">
                  <c:v>30.5783876010587</c:v>
                </c:pt>
                <c:pt idx="40">
                  <c:v>28.4141620714773</c:v>
                </c:pt>
                <c:pt idx="41">
                  <c:v>25.7113557165764</c:v>
                </c:pt>
                <c:pt idx="42">
                  <c:v>22.5475483557935</c:v>
                </c:pt>
                <c:pt idx="43">
                  <c:v>19.0001622861468</c:v>
                </c:pt>
                <c:pt idx="44">
                  <c:v>15.1432155888936</c:v>
                </c:pt>
                <c:pt idx="45">
                  <c:v>11.0473572842896</c:v>
                </c:pt>
                <c:pt idx="46">
                  <c:v>6.78680049700946</c:v>
                </c:pt>
                <c:pt idx="47">
                  <c:v>2.48578819891736</c:v>
                </c:pt>
                <c:pt idx="48">
                  <c:v>-1.59678181502914</c:v>
                </c:pt>
                <c:pt idx="49">
                  <c:v>-6.94775019230294</c:v>
                </c:pt>
                <c:pt idx="50">
                  <c:v>-11.5014090547761</c:v>
                </c:pt>
                <c:pt idx="51">
                  <c:v>-15.9846550002619</c:v>
                </c:pt>
                <c:pt idx="52">
                  <c:v>-20.3682166840312</c:v>
                </c:pt>
                <c:pt idx="53">
                  <c:v>-24.5951580658174</c:v>
                </c:pt>
                <c:pt idx="54">
                  <c:v>-28.6016223354239</c:v>
                </c:pt>
                <c:pt idx="55">
                  <c:v>-32.3152718197998</c:v>
                </c:pt>
                <c:pt idx="56">
                  <c:v>-35.6539811007496</c:v>
                </c:pt>
                <c:pt idx="57">
                  <c:v>-38.5264594608085</c:v>
                </c:pt>
                <c:pt idx="58">
                  <c:v>-40.8360913714679</c:v>
                </c:pt>
                <c:pt idx="59">
                  <c:v>-42.4891330988032</c:v>
                </c:pt>
                <c:pt idx="60">
                  <c:v>-43.4071399094328</c:v>
                </c:pt>
                <c:pt idx="61">
                  <c:v>-43.5409481611711</c:v>
                </c:pt>
                <c:pt idx="62">
                  <c:v>-42.8810899606958</c:v>
                </c:pt>
                <c:pt idx="63">
                  <c:v>-41.4597645422966</c:v>
                </c:pt>
                <c:pt idx="64">
                  <c:v>-39.3433610441844</c:v>
                </c:pt>
                <c:pt idx="65">
                  <c:v>-36.6192236866175</c:v>
                </c:pt>
                <c:pt idx="66">
                  <c:v>-33.3821247835483</c:v>
                </c:pt>
                <c:pt idx="67">
                  <c:v>-29.7242363478259</c:v>
                </c:pt>
                <c:pt idx="68">
                  <c:v>-25.7296234280471</c:v>
                </c:pt>
                <c:pt idx="69">
                  <c:v>-21.4724715802316</c:v>
                </c:pt>
                <c:pt idx="70">
                  <c:v>-17.0177580750802</c:v>
                </c:pt>
                <c:pt idx="71">
                  <c:v>-12.4229267226705</c:v>
                </c:pt>
                <c:pt idx="72">
                  <c:v>-7.72765637601777</c:v>
                </c:pt>
                <c:pt idx="73">
                  <c:v>-2.32801213036966</c:v>
                </c:pt>
                <c:pt idx="74">
                  <c:v>2.17255845693138</c:v>
                </c:pt>
                <c:pt idx="75">
                  <c:v>6.74658324916574</c:v>
                </c:pt>
                <c:pt idx="76">
                  <c:v>11.3544571620025</c:v>
                </c:pt>
                <c:pt idx="77">
                  <c:v>15.8617471115784</c:v>
                </c:pt>
                <c:pt idx="78">
                  <c:v>20.1980893395864</c:v>
                </c:pt>
                <c:pt idx="79">
                  <c:v>24.296924708063</c:v>
                </c:pt>
                <c:pt idx="80">
                  <c:v>28.0857973379722</c:v>
                </c:pt>
                <c:pt idx="81">
                  <c:v>31.4839426447358</c:v>
                </c:pt>
                <c:pt idx="82">
                  <c:v>34.4030277208391</c:v>
                </c:pt>
                <c:pt idx="83">
                  <c:v>36.7511779422082</c:v>
                </c:pt>
                <c:pt idx="84">
                  <c:v>38.440863239233</c:v>
                </c:pt>
                <c:pt idx="85">
                  <c:v>39.4001988945593</c:v>
                </c:pt>
                <c:pt idx="86">
                  <c:v>39.5851881869543</c:v>
                </c:pt>
                <c:pt idx="87">
                  <c:v>38.9886495021767</c:v>
                </c:pt>
                <c:pt idx="88">
                  <c:v>37.641934072681</c:v>
                </c:pt>
                <c:pt idx="89">
                  <c:v>35.6086167743542</c:v>
                </c:pt>
                <c:pt idx="90">
                  <c:v>32.9730513675402</c:v>
                </c:pt>
                <c:pt idx="91">
                  <c:v>29.8282536979501</c:v>
                </c:pt>
                <c:pt idx="92">
                  <c:v>26.2664654027945</c:v>
                </c:pt>
                <c:pt idx="93">
                  <c:v>22.3735938253224</c:v>
                </c:pt>
                <c:pt idx="94">
                  <c:v>18.227182042693</c:v>
                </c:pt>
                <c:pt idx="95">
                  <c:v>13.8972332448672</c:v>
                </c:pt>
                <c:pt idx="96">
                  <c:v>9.45053891437179</c:v>
                </c:pt>
                <c:pt idx="97">
                  <c:v>4.96768171498699</c:v>
                </c:pt>
              </c:numCache>
            </c:numRef>
          </c:yVal>
          <c:smooth val="0"/>
        </c:ser>
        <c:axId val="57030352"/>
        <c:axId val="47908799"/>
      </c:scatterChart>
      <c:valAx>
        <c:axId val="57030352"/>
        <c:scaling>
          <c:orientation val="minMax"/>
          <c:max val="49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76889095559172"/>
              <c:y val="0.78230990911106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7908799"/>
        <c:crosses val="autoZero"/>
        <c:crossBetween val="midCat"/>
        <c:majorUnit val="2"/>
      </c:valAx>
      <c:valAx>
        <c:axId val="47908799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elev_r</a:t>
                </a:r>
              </a:p>
            </c:rich>
          </c:tx>
          <c:layout>
            <c:manualLayout>
              <c:xMode val="edge"/>
              <c:yMode val="edge"/>
              <c:x val="0.0993954894210649"/>
              <c:y val="0.12458434936821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7030352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38939236369039"/>
          <c:y val="0.0696875692444051"/>
          <c:w val="0.860273362056158"/>
          <c:h val="0.739530245956127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'elev  az  illum  rise  set'!$F$2:$F$99</c:f>
              <c:numCache>
                <c:formatCode>General</c:formatCode>
                <c:ptCount val="98"/>
                <c:pt idx="0">
                  <c:v>269.266688654779</c:v>
                </c:pt>
                <c:pt idx="1">
                  <c:v>274.961037934045</c:v>
                </c:pt>
                <c:pt idx="2">
                  <c:v>280.843371510021</c:v>
                </c:pt>
                <c:pt idx="3">
                  <c:v>287.005179702724</c:v>
                </c:pt>
                <c:pt idx="4">
                  <c:v>293.547194038714</c:v>
                </c:pt>
                <c:pt idx="5">
                  <c:v>300.577914315158</c:v>
                </c:pt>
                <c:pt idx="6">
                  <c:v>308.207761462934</c:v>
                </c:pt>
                <c:pt idx="7">
                  <c:v>316.535573601218</c:v>
                </c:pt>
                <c:pt idx="8">
                  <c:v>325.624108821059</c:v>
                </c:pt>
                <c:pt idx="9">
                  <c:v>335.464559294186</c:v>
                </c:pt>
                <c:pt idx="10">
                  <c:v>345.939613412677</c:v>
                </c:pt>
                <c:pt idx="11">
                  <c:v>356.807849136116</c:v>
                </c:pt>
                <c:pt idx="12">
                  <c:v>7.7345357378413</c:v>
                </c:pt>
                <c:pt idx="13">
                  <c:v>18.3689766858071</c:v>
                </c:pt>
                <c:pt idx="14">
                  <c:v>28.4306690831734</c:v>
                </c:pt>
                <c:pt idx="15">
                  <c:v>37.7584768537834</c:v>
                </c:pt>
                <c:pt idx="16">
                  <c:v>46.309089417541</c:v>
                </c:pt>
                <c:pt idx="17">
                  <c:v>54.1244245060994</c:v>
                </c:pt>
                <c:pt idx="18">
                  <c:v>61.2938889602053</c:v>
                </c:pt>
                <c:pt idx="19">
                  <c:v>67.9257270091425</c:v>
                </c:pt>
                <c:pt idx="20">
                  <c:v>74.13003793932</c:v>
                </c:pt>
                <c:pt idx="21">
                  <c:v>80.0107505499391</c:v>
                </c:pt>
                <c:pt idx="22">
                  <c:v>85.6630623843265</c:v>
                </c:pt>
                <c:pt idx="23">
                  <c:v>91.1737234224602</c:v>
                </c:pt>
                <c:pt idx="24">
                  <c:v>96.6225533541507</c:v>
                </c:pt>
                <c:pt idx="25">
                  <c:v>102.084292052823</c:v>
                </c:pt>
                <c:pt idx="26">
                  <c:v>107.630278345382</c:v>
                </c:pt>
                <c:pt idx="27">
                  <c:v>113.329610636236</c:v>
                </c:pt>
                <c:pt idx="28">
                  <c:v>119.249454147782</c:v>
                </c:pt>
                <c:pt idx="29">
                  <c:v>125.454084767088</c:v>
                </c:pt>
                <c:pt idx="30">
                  <c:v>132.002155280216</c:v>
                </c:pt>
                <c:pt idx="31">
                  <c:v>138.941656709553</c:v>
                </c:pt>
                <c:pt idx="32">
                  <c:v>146.302318909582</c:v>
                </c:pt>
                <c:pt idx="33">
                  <c:v>154.08599239531</c:v>
                </c:pt>
                <c:pt idx="34">
                  <c:v>162.257022369434</c:v>
                </c:pt>
                <c:pt idx="35">
                  <c:v>170.736379342595</c:v>
                </c:pt>
                <c:pt idx="36">
                  <c:v>179.404066685872</c:v>
                </c:pt>
                <c:pt idx="37">
                  <c:v>188.112449192064</c:v>
                </c:pt>
                <c:pt idx="38">
                  <c:v>196.708429822172</c:v>
                </c:pt>
                <c:pt idx="39">
                  <c:v>205.057527985008</c:v>
                </c:pt>
                <c:pt idx="40">
                  <c:v>213.061774019885</c:v>
                </c:pt>
                <c:pt idx="41">
                  <c:v>220.666929182985</c:v>
                </c:pt>
                <c:pt idx="42">
                  <c:v>227.859813024785</c:v>
                </c:pt>
                <c:pt idx="43">
                  <c:v>234.659812384756</c:v>
                </c:pt>
                <c:pt idx="44">
                  <c:v>241.108901440709</c:v>
                </c:pt>
                <c:pt idx="45">
                  <c:v>247.262983016007</c:v>
                </c:pt>
                <c:pt idx="46">
                  <c:v>253.185665907558</c:v>
                </c:pt>
                <c:pt idx="47">
                  <c:v>258.944485803712</c:v>
                </c:pt>
                <c:pt idx="48">
                  <c:v>264.609086962795</c:v>
                </c:pt>
                <c:pt idx="49">
                  <c:v>270.250781930864</c:v>
                </c:pt>
                <c:pt idx="50">
                  <c:v>275.942964640374</c:v>
                </c:pt>
                <c:pt idx="51">
                  <c:v>281.761910571889</c:v>
                </c:pt>
                <c:pt idx="52">
                  <c:v>287.787491320714</c:v>
                </c:pt>
                <c:pt idx="53">
                  <c:v>294.103203448583</c:v>
                </c:pt>
                <c:pt idx="54">
                  <c:v>300.794643838627</c:v>
                </c:pt>
                <c:pt idx="55">
                  <c:v>307.945181958824</c:v>
                </c:pt>
                <c:pt idx="56">
                  <c:v>315.627258140191</c:v>
                </c:pt>
                <c:pt idx="57">
                  <c:v>323.887966734152</c:v>
                </c:pt>
                <c:pt idx="58">
                  <c:v>332.729272602867</c:v>
                </c:pt>
                <c:pt idx="59">
                  <c:v>342.0872239275</c:v>
                </c:pt>
                <c:pt idx="60">
                  <c:v>351.819990976572</c:v>
                </c:pt>
                <c:pt idx="61">
                  <c:v>1.71682859105152</c:v>
                </c:pt>
                <c:pt idx="62">
                  <c:v>11.5328154740282</c:v>
                </c:pt>
                <c:pt idx="63">
                  <c:v>21.0385160382342</c:v>
                </c:pt>
                <c:pt idx="64">
                  <c:v>30.0626841104788</c:v>
                </c:pt>
                <c:pt idx="65">
                  <c:v>38.511414199986</c:v>
                </c:pt>
                <c:pt idx="66">
                  <c:v>46.3630022818484</c:v>
                </c:pt>
                <c:pt idx="67">
                  <c:v>53.6491579465884</c:v>
                </c:pt>
                <c:pt idx="68">
                  <c:v>60.4340398155096</c:v>
                </c:pt>
                <c:pt idx="69">
                  <c:v>66.7975904624967</c:v>
                </c:pt>
                <c:pt idx="70">
                  <c:v>72.8247915738335</c:v>
                </c:pt>
                <c:pt idx="71">
                  <c:v>78.5999331385386</c:v>
                </c:pt>
                <c:pt idx="72">
                  <c:v>84.2043272059264</c:v>
                </c:pt>
                <c:pt idx="73">
                  <c:v>89.7160943141695</c:v>
                </c:pt>
                <c:pt idx="74">
                  <c:v>95.2110532307478</c:v>
                </c:pt>
                <c:pt idx="75">
                  <c:v>100.764075828514</c:v>
                </c:pt>
                <c:pt idx="76">
                  <c:v>106.450455076206</c:v>
                </c:pt>
                <c:pt idx="77">
                  <c:v>112.346872910495</c:v>
                </c:pt>
                <c:pt idx="78">
                  <c:v>118.531457104577</c:v>
                </c:pt>
                <c:pt idx="79">
                  <c:v>125.08219973862</c:v>
                </c:pt>
                <c:pt idx="80">
                  <c:v>132.072733668211</c:v>
                </c:pt>
                <c:pt idx="81">
                  <c:v>139.564309178</c:v>
                </c:pt>
                <c:pt idx="82">
                  <c:v>147.593195315211</c:v>
                </c:pt>
                <c:pt idx="83">
                  <c:v>156.154301844083</c:v>
                </c:pt>
                <c:pt idx="84">
                  <c:v>165.18501893761</c:v>
                </c:pt>
                <c:pt idx="85">
                  <c:v>174.557116925978</c:v>
                </c:pt>
                <c:pt idx="86">
                  <c:v>184.085547096609</c:v>
                </c:pt>
                <c:pt idx="87">
                  <c:v>193.557102353594</c:v>
                </c:pt>
                <c:pt idx="88">
                  <c:v>202.770484303509</c:v>
                </c:pt>
                <c:pt idx="89">
                  <c:v>211.571463288756</c:v>
                </c:pt>
                <c:pt idx="90">
                  <c:v>219.870294715537</c:v>
                </c:pt>
                <c:pt idx="91">
                  <c:v>227.639818531675</c:v>
                </c:pt>
                <c:pt idx="92">
                  <c:v>234.901556696805</c:v>
                </c:pt>
                <c:pt idx="93">
                  <c:v>241.708690003762</c:v>
                </c:pt>
                <c:pt idx="94">
                  <c:v>248.131591914437</c:v>
                </c:pt>
                <c:pt idx="95">
                  <c:v>254.247864580311</c:v>
                </c:pt>
                <c:pt idx="96">
                  <c:v>260.136565908432</c:v>
                </c:pt>
                <c:pt idx="97">
                  <c:v>265.87551167859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000000"/>
            </a:solidFill>
            <a:ln w="288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set'!$D$2:$D$99</c:f>
              <c:numCache>
                <c:formatCode>General</c:formatCode>
                <c:ptCount val="9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</c:numCache>
            </c:numRef>
          </c:xVal>
          <c:yVal>
            <c:numRef>
              <c:f>'elev  az  illum  rise  set'!$R$2:$R$99</c:f>
              <c:numCache>
                <c:formatCode>General</c:formatCode>
                <c:ptCount val="98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180</c:v>
                </c:pt>
                <c:pt idx="33">
                  <c:v>180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180</c:v>
                </c:pt>
                <c:pt idx="55">
                  <c:v>180</c:v>
                </c:pt>
                <c:pt idx="56">
                  <c:v>180</c:v>
                </c:pt>
                <c:pt idx="57">
                  <c:v>180</c:v>
                </c:pt>
                <c:pt idx="58">
                  <c:v>180</c:v>
                </c:pt>
                <c:pt idx="59">
                  <c:v>180</c:v>
                </c:pt>
                <c:pt idx="60">
                  <c:v>180</c:v>
                </c:pt>
                <c:pt idx="61">
                  <c:v>180</c:v>
                </c:pt>
                <c:pt idx="62">
                  <c:v>180</c:v>
                </c:pt>
                <c:pt idx="63">
                  <c:v>180</c:v>
                </c:pt>
                <c:pt idx="64">
                  <c:v>180</c:v>
                </c:pt>
                <c:pt idx="65">
                  <c:v>180</c:v>
                </c:pt>
                <c:pt idx="66">
                  <c:v>180</c:v>
                </c:pt>
                <c:pt idx="67">
                  <c:v>180</c:v>
                </c:pt>
                <c:pt idx="68">
                  <c:v>180</c:v>
                </c:pt>
                <c:pt idx="69">
                  <c:v>180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180</c:v>
                </c:pt>
                <c:pt idx="74">
                  <c:v>180</c:v>
                </c:pt>
                <c:pt idx="75">
                  <c:v>180</c:v>
                </c:pt>
                <c:pt idx="76">
                  <c:v>180</c:v>
                </c:pt>
                <c:pt idx="77">
                  <c:v>180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180</c:v>
                </c:pt>
                <c:pt idx="83">
                  <c:v>180</c:v>
                </c:pt>
                <c:pt idx="84">
                  <c:v>180</c:v>
                </c:pt>
                <c:pt idx="85">
                  <c:v>180</c:v>
                </c:pt>
                <c:pt idx="86">
                  <c:v>180</c:v>
                </c:pt>
                <c:pt idx="87">
                  <c:v>180</c:v>
                </c:pt>
                <c:pt idx="88">
                  <c:v>180</c:v>
                </c:pt>
                <c:pt idx="89">
                  <c:v>180</c:v>
                </c:pt>
                <c:pt idx="90">
                  <c:v>180</c:v>
                </c:pt>
                <c:pt idx="91">
                  <c:v>180</c:v>
                </c:pt>
                <c:pt idx="92">
                  <c:v>180</c:v>
                </c:pt>
                <c:pt idx="93">
                  <c:v>180</c:v>
                </c:pt>
                <c:pt idx="94">
                  <c:v>180</c:v>
                </c:pt>
                <c:pt idx="95">
                  <c:v>180</c:v>
                </c:pt>
                <c:pt idx="96">
                  <c:v>180</c:v>
                </c:pt>
                <c:pt idx="97">
                  <c:v>180</c:v>
                </c:pt>
              </c:numCache>
            </c:numRef>
          </c:yVal>
          <c:smooth val="0"/>
        </c:ser>
        <c:axId val="55136475"/>
        <c:axId val="49913458"/>
      </c:scatterChart>
      <c:valAx>
        <c:axId val="55136475"/>
        <c:scaling>
          <c:orientation val="minMax"/>
          <c:max val="48.5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70004456990046"/>
              <c:y val="0.67305561710613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9913458"/>
        <c:crosses val="autoZero"/>
        <c:crossBetween val="midCat"/>
        <c:majorUnit val="2"/>
      </c:valAx>
      <c:valAx>
        <c:axId val="49913458"/>
        <c:scaling>
          <c:orientation val="minMax"/>
          <c:max val="36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106299212598425"/>
              <c:y val="0.0888544205628185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5136475"/>
        <c:crosses val="autoZero"/>
        <c:crossBetween val="midCat"/>
        <c:majorUnit val="3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elevation and illuminated fraction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80305261748561"/>
          <c:y val="0.124196764901396"/>
          <c:w val="0.882045789262284"/>
          <c:h val="0.800908486594283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'elev  az  illum  rise  set'!$E$2:$E$50</c:f>
              <c:numCache>
                <c:formatCode>General</c:formatCode>
                <c:ptCount val="49"/>
                <c:pt idx="0">
                  <c:v>-14.2151784378867</c:v>
                </c:pt>
                <c:pt idx="1">
                  <c:v>-18.7472155193705</c:v>
                </c:pt>
                <c:pt idx="2">
                  <c:v>-23.2365858483119</c:v>
                </c:pt>
                <c:pt idx="3">
                  <c:v>-27.6299824805601</c:v>
                </c:pt>
                <c:pt idx="4">
                  <c:v>-31.8675576046992</c:v>
                </c:pt>
                <c:pt idx="5">
                  <c:v>-35.8797752818986</c:v>
                </c:pt>
                <c:pt idx="6">
                  <c:v>-39.5843916160344</c:v>
                </c:pt>
                <c:pt idx="7">
                  <c:v>-42.8844933879603</c:v>
                </c:pt>
                <c:pt idx="8">
                  <c:v>-45.6692546550902</c:v>
                </c:pt>
                <c:pt idx="9">
                  <c:v>-47.8199128277983</c:v>
                </c:pt>
                <c:pt idx="10">
                  <c:v>-49.2232523545706</c:v>
                </c:pt>
                <c:pt idx="11">
                  <c:v>-49.7919752075418</c:v>
                </c:pt>
                <c:pt idx="12">
                  <c:v>-49.4856390813864</c:v>
                </c:pt>
                <c:pt idx="13">
                  <c:v>-48.3217692166393</c:v>
                </c:pt>
                <c:pt idx="14">
                  <c:v>-46.3704535609855</c:v>
                </c:pt>
                <c:pt idx="15">
                  <c:v>-43.7357909086997</c:v>
                </c:pt>
                <c:pt idx="16">
                  <c:v>-40.5343082081261</c:v>
                </c:pt>
                <c:pt idx="17">
                  <c:v>-36.8786675162829</c:v>
                </c:pt>
                <c:pt idx="18">
                  <c:v>-32.8691332357903</c:v>
                </c:pt>
                <c:pt idx="19">
                  <c:v>-28.5911957183989</c:v>
                </c:pt>
                <c:pt idx="20">
                  <c:v>-24.1167455430255</c:v>
                </c:pt>
                <c:pt idx="21">
                  <c:v>-19.5068321638062</c:v>
                </c:pt>
                <c:pt idx="22">
                  <c:v>-14.8148850965183</c:v>
                </c:pt>
                <c:pt idx="23">
                  <c:v>-10.0877816041642</c:v>
                </c:pt>
                <c:pt idx="24">
                  <c:v>-5.26973521548014</c:v>
                </c:pt>
                <c:pt idx="25">
                  <c:v>0.00864991928557446</c:v>
                </c:pt>
                <c:pt idx="26">
                  <c:v>4.2390339251179</c:v>
                </c:pt>
                <c:pt idx="27">
                  <c:v>8.6392394009984</c:v>
                </c:pt>
                <c:pt idx="28">
                  <c:v>12.9106608104844</c:v>
                </c:pt>
                <c:pt idx="29">
                  <c:v>16.9633236693041</c:v>
                </c:pt>
                <c:pt idx="30">
                  <c:v>20.7273160358039</c:v>
                </c:pt>
                <c:pt idx="31">
                  <c:v>24.1318263690166</c:v>
                </c:pt>
                <c:pt idx="32">
                  <c:v>27.1022574740589</c:v>
                </c:pt>
                <c:pt idx="33">
                  <c:v>29.5620280800615</c:v>
                </c:pt>
                <c:pt idx="34">
                  <c:v>31.4373702915026</c:v>
                </c:pt>
                <c:pt idx="35">
                  <c:v>32.6645090031419</c:v>
                </c:pt>
                <c:pt idx="36">
                  <c:v>33.1979368259795</c:v>
                </c:pt>
                <c:pt idx="37">
                  <c:v>33.0175563754541</c:v>
                </c:pt>
                <c:pt idx="38">
                  <c:v>32.1322345353913</c:v>
                </c:pt>
                <c:pt idx="39">
                  <c:v>30.5783876010587</c:v>
                </c:pt>
                <c:pt idx="40">
                  <c:v>28.4141620714773</c:v>
                </c:pt>
                <c:pt idx="41">
                  <c:v>25.7113557165764</c:v>
                </c:pt>
                <c:pt idx="42">
                  <c:v>22.5475483557935</c:v>
                </c:pt>
                <c:pt idx="43">
                  <c:v>19.0001622861468</c:v>
                </c:pt>
                <c:pt idx="44">
                  <c:v>15.1432155888936</c:v>
                </c:pt>
                <c:pt idx="45">
                  <c:v>11.0473572842896</c:v>
                </c:pt>
                <c:pt idx="46">
                  <c:v>6.78680049700946</c:v>
                </c:pt>
                <c:pt idx="47">
                  <c:v>2.48578819891736</c:v>
                </c:pt>
                <c:pt idx="48">
                  <c:v>-1.59678181502914</c:v>
                </c:pt>
              </c:numCache>
            </c:numRef>
          </c:yVal>
          <c:smooth val="0"/>
        </c:ser>
        <c:ser>
          <c:idx val="1"/>
          <c:order val="1"/>
          <c:spPr>
            <a:noFill/>
            <a:ln w="216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'elev  az  illum  rise  set'!$G$2:$G$50</c:f>
              <c:numCache>
                <c:formatCode>General</c:formatCode>
                <c:ptCount val="49"/>
                <c:pt idx="0">
                  <c:v>54.4736968110266</c:v>
                </c:pt>
                <c:pt idx="1">
                  <c:v>54.7036881865528</c:v>
                </c:pt>
                <c:pt idx="2">
                  <c:v>54.9334686312223</c:v>
                </c:pt>
                <c:pt idx="3">
                  <c:v>55.1630335117394</c:v>
                </c:pt>
                <c:pt idx="4">
                  <c:v>55.3923781977808</c:v>
                </c:pt>
                <c:pt idx="5">
                  <c:v>55.6214980774267</c:v>
                </c:pt>
                <c:pt idx="6">
                  <c:v>55.8503885725108</c:v>
                </c:pt>
                <c:pt idx="7">
                  <c:v>56.0790451078856</c:v>
                </c:pt>
                <c:pt idx="8">
                  <c:v>56.3074631268704</c:v>
                </c:pt>
                <c:pt idx="9">
                  <c:v>56.5356381064685</c:v>
                </c:pt>
                <c:pt idx="10">
                  <c:v>56.7635655268362</c:v>
                </c:pt>
                <c:pt idx="11">
                  <c:v>56.9912408865259</c:v>
                </c:pt>
                <c:pt idx="12">
                  <c:v>57.2186597178118</c:v>
                </c:pt>
                <c:pt idx="13">
                  <c:v>57.4458175561189</c:v>
                </c:pt>
                <c:pt idx="14">
                  <c:v>57.6727099553079</c:v>
                </c:pt>
                <c:pt idx="15">
                  <c:v>57.8993325029436</c:v>
                </c:pt>
                <c:pt idx="16">
                  <c:v>58.1256807897544</c:v>
                </c:pt>
                <c:pt idx="17">
                  <c:v>58.3517504249271</c:v>
                </c:pt>
                <c:pt idx="18">
                  <c:v>58.57753705123</c:v>
                </c:pt>
                <c:pt idx="19">
                  <c:v>58.8030363147355</c:v>
                </c:pt>
                <c:pt idx="20">
                  <c:v>59.0282438799062</c:v>
                </c:pt>
                <c:pt idx="21">
                  <c:v>59.2531554447459</c:v>
                </c:pt>
                <c:pt idx="22">
                  <c:v>59.4777667105496</c:v>
                </c:pt>
                <c:pt idx="23">
                  <c:v>59.7020733970213</c:v>
                </c:pt>
                <c:pt idx="24">
                  <c:v>59.9260712573632</c:v>
                </c:pt>
                <c:pt idx="25">
                  <c:v>60.1497560480394</c:v>
                </c:pt>
                <c:pt idx="26">
                  <c:v>60.3731235439535</c:v>
                </c:pt>
                <c:pt idx="27">
                  <c:v>60.5961695533249</c:v>
                </c:pt>
                <c:pt idx="28">
                  <c:v>60.8188898877907</c:v>
                </c:pt>
                <c:pt idx="29">
                  <c:v>61.0412803773109</c:v>
                </c:pt>
                <c:pt idx="30">
                  <c:v>61.2633368850884</c:v>
                </c:pt>
                <c:pt idx="31">
                  <c:v>61.4850552777695</c:v>
                </c:pt>
                <c:pt idx="32">
                  <c:v>61.7064314402771</c:v>
                </c:pt>
                <c:pt idx="33">
                  <c:v>61.9274612906985</c:v>
                </c:pt>
                <c:pt idx="34">
                  <c:v>62.1481407505263</c:v>
                </c:pt>
                <c:pt idx="35">
                  <c:v>62.3684657595535</c:v>
                </c:pt>
                <c:pt idx="36">
                  <c:v>62.5884322905628</c:v>
                </c:pt>
                <c:pt idx="37">
                  <c:v>62.8080363198384</c:v>
                </c:pt>
                <c:pt idx="38">
                  <c:v>63.0272738418368</c:v>
                </c:pt>
                <c:pt idx="39">
                  <c:v>63.2461408839675</c:v>
                </c:pt>
                <c:pt idx="40">
                  <c:v>63.4646334770613</c:v>
                </c:pt>
                <c:pt idx="41">
                  <c:v>63.6827476701456</c:v>
                </c:pt>
                <c:pt idx="42">
                  <c:v>63.9004795450173</c:v>
                </c:pt>
                <c:pt idx="43">
                  <c:v>64.1178251869326</c:v>
                </c:pt>
                <c:pt idx="44">
                  <c:v>64.3347806993425</c:v>
                </c:pt>
                <c:pt idx="45">
                  <c:v>64.551342218217</c:v>
                </c:pt>
                <c:pt idx="46">
                  <c:v>64.7675058831303</c:v>
                </c:pt>
                <c:pt idx="47">
                  <c:v>64.983267851648</c:v>
                </c:pt>
                <c:pt idx="48">
                  <c:v>65.1986243138846</c:v>
                </c:pt>
              </c:numCache>
            </c:numRef>
          </c:yVal>
          <c:smooth val="0"/>
        </c:ser>
        <c:axId val="29837964"/>
        <c:axId val="55588776"/>
      </c:scatterChart>
      <c:valAx>
        <c:axId val="29837964"/>
        <c:scaling>
          <c:orientation val="minMax"/>
          <c:max val="24"/>
          <c:min val="0"/>
        </c:scaling>
        <c:delete val="1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85392957557906"/>
              <c:y val="0.75348991801462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5588776"/>
        <c:crossBetween val="midCat"/>
        <c:majorUnit val="3"/>
      </c:valAx>
      <c:valAx>
        <c:axId val="55588776"/>
        <c:scaling>
          <c:orientation val="minMax"/>
          <c:max val="90"/>
          <c:min val="-9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ff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ff0000"/>
                    </a:solidFill>
                    <a:latin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113000401660195"/>
              <c:y val="0.23022379791712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9837964"/>
        <c:crosses val="autoZero"/>
        <c:crossBetween val="midCat"/>
        <c:majorUnit val="1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68281817558769"/>
          <c:y val="0.040792905581638"/>
          <c:w val="0.885271742855185"/>
          <c:h val="0.867292644757434"/>
        </c:manualLayout>
      </c:layout>
      <c:scatterChart>
        <c:scatterStyle val="lineMarker"/>
        <c:varyColors val="0"/>
        <c:ser>
          <c:idx val="0"/>
          <c:order val="0"/>
          <c:spPr>
            <a:noFill/>
            <a:ln w="28800">
              <a:noFill/>
            </a:ln>
          </c:spPr>
          <c:marker>
            <c:symbol val="circle"/>
            <c:size val="4"/>
            <c:spPr>
              <a:solidFill>
                <a:srgbClr val="4c4c4c"/>
              </a:solidFill>
            </c:spPr>
          </c:marker>
          <c:dPt>
            <c:idx val="30"/>
            <c:marker>
              <c:symbol val="circle"/>
              <c:size val="4"/>
              <c:spPr>
                <a:solidFill>
                  <a:srgbClr val="4c4c4c"/>
                </a:solidFill>
              </c:spPr>
            </c:marker>
          </c:dPt>
          <c:dLbls>
            <c:dLbl>
              <c:idx val="3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set'!$F$2:$F$50</c:f>
              <c:numCache>
                <c:formatCode>General</c:formatCode>
                <c:ptCount val="49"/>
                <c:pt idx="0">
                  <c:v>269.266688654779</c:v>
                </c:pt>
                <c:pt idx="1">
                  <c:v>274.961037934045</c:v>
                </c:pt>
                <c:pt idx="2">
                  <c:v>280.843371510021</c:v>
                </c:pt>
                <c:pt idx="3">
                  <c:v>287.005179702724</c:v>
                </c:pt>
                <c:pt idx="4">
                  <c:v>293.547194038714</c:v>
                </c:pt>
                <c:pt idx="5">
                  <c:v>300.577914315158</c:v>
                </c:pt>
                <c:pt idx="6">
                  <c:v>308.207761462934</c:v>
                </c:pt>
                <c:pt idx="7">
                  <c:v>316.535573601218</c:v>
                </c:pt>
                <c:pt idx="8">
                  <c:v>325.624108821059</c:v>
                </c:pt>
                <c:pt idx="9">
                  <c:v>335.464559294186</c:v>
                </c:pt>
                <c:pt idx="10">
                  <c:v>345.939613412677</c:v>
                </c:pt>
                <c:pt idx="11">
                  <c:v>356.807849136116</c:v>
                </c:pt>
                <c:pt idx="12">
                  <c:v>7.7345357378413</c:v>
                </c:pt>
                <c:pt idx="13">
                  <c:v>18.3689766858071</c:v>
                </c:pt>
                <c:pt idx="14">
                  <c:v>28.4306690831734</c:v>
                </c:pt>
                <c:pt idx="15">
                  <c:v>37.7584768537834</c:v>
                </c:pt>
                <c:pt idx="16">
                  <c:v>46.309089417541</c:v>
                </c:pt>
                <c:pt idx="17">
                  <c:v>54.1244245060994</c:v>
                </c:pt>
                <c:pt idx="18">
                  <c:v>61.2938889602053</c:v>
                </c:pt>
                <c:pt idx="19">
                  <c:v>67.9257270091425</c:v>
                </c:pt>
                <c:pt idx="20">
                  <c:v>74.13003793932</c:v>
                </c:pt>
                <c:pt idx="21">
                  <c:v>80.0107505499391</c:v>
                </c:pt>
                <c:pt idx="22">
                  <c:v>85.6630623843265</c:v>
                </c:pt>
                <c:pt idx="23">
                  <c:v>91.1737234224602</c:v>
                </c:pt>
                <c:pt idx="24">
                  <c:v>96.6225533541507</c:v>
                </c:pt>
                <c:pt idx="25">
                  <c:v>102.084292052823</c:v>
                </c:pt>
                <c:pt idx="26">
                  <c:v>107.630278345382</c:v>
                </c:pt>
                <c:pt idx="27">
                  <c:v>113.329610636236</c:v>
                </c:pt>
                <c:pt idx="28">
                  <c:v>119.249454147782</c:v>
                </c:pt>
                <c:pt idx="29">
                  <c:v>125.454084767088</c:v>
                </c:pt>
                <c:pt idx="30">
                  <c:v>132.002155280216</c:v>
                </c:pt>
                <c:pt idx="31">
                  <c:v>138.941656709553</c:v>
                </c:pt>
                <c:pt idx="32">
                  <c:v>146.302318909582</c:v>
                </c:pt>
                <c:pt idx="33">
                  <c:v>154.08599239531</c:v>
                </c:pt>
                <c:pt idx="34">
                  <c:v>162.257022369434</c:v>
                </c:pt>
                <c:pt idx="35">
                  <c:v>170.736379342595</c:v>
                </c:pt>
                <c:pt idx="36">
                  <c:v>179.404066685872</c:v>
                </c:pt>
                <c:pt idx="37">
                  <c:v>188.112449192064</c:v>
                </c:pt>
                <c:pt idx="38">
                  <c:v>196.708429822172</c:v>
                </c:pt>
                <c:pt idx="39">
                  <c:v>205.057527985008</c:v>
                </c:pt>
                <c:pt idx="40">
                  <c:v>213.061774019885</c:v>
                </c:pt>
                <c:pt idx="41">
                  <c:v>220.666929182985</c:v>
                </c:pt>
                <c:pt idx="42">
                  <c:v>227.859813024785</c:v>
                </c:pt>
                <c:pt idx="43">
                  <c:v>234.659812384756</c:v>
                </c:pt>
                <c:pt idx="44">
                  <c:v>241.108901440709</c:v>
                </c:pt>
                <c:pt idx="45">
                  <c:v>247.262983016007</c:v>
                </c:pt>
                <c:pt idx="46">
                  <c:v>253.185665907558</c:v>
                </c:pt>
                <c:pt idx="47">
                  <c:v>258.944485803712</c:v>
                </c:pt>
                <c:pt idx="48">
                  <c:v>264.609086962795</c:v>
                </c:pt>
              </c:numCache>
            </c:numRef>
          </c:xVal>
          <c:yVal>
            <c:numRef>
              <c:f>'elev  az  illum  rise  set'!$E$2:$E$50</c:f>
              <c:numCache>
                <c:formatCode>General</c:formatCode>
                <c:ptCount val="49"/>
                <c:pt idx="0">
                  <c:v>-14.2151784378867</c:v>
                </c:pt>
                <c:pt idx="1">
                  <c:v>-18.7472155193705</c:v>
                </c:pt>
                <c:pt idx="2">
                  <c:v>-23.2365858483119</c:v>
                </c:pt>
                <c:pt idx="3">
                  <c:v>-27.6299824805601</c:v>
                </c:pt>
                <c:pt idx="4">
                  <c:v>-31.8675576046992</c:v>
                </c:pt>
                <c:pt idx="5">
                  <c:v>-35.8797752818986</c:v>
                </c:pt>
                <c:pt idx="6">
                  <c:v>-39.5843916160344</c:v>
                </c:pt>
                <c:pt idx="7">
                  <c:v>-42.8844933879603</c:v>
                </c:pt>
                <c:pt idx="8">
                  <c:v>-45.6692546550902</c:v>
                </c:pt>
                <c:pt idx="9">
                  <c:v>-47.8199128277983</c:v>
                </c:pt>
                <c:pt idx="10">
                  <c:v>-49.2232523545706</c:v>
                </c:pt>
                <c:pt idx="11">
                  <c:v>-49.7919752075418</c:v>
                </c:pt>
                <c:pt idx="12">
                  <c:v>-49.4856390813864</c:v>
                </c:pt>
                <c:pt idx="13">
                  <c:v>-48.3217692166393</c:v>
                </c:pt>
                <c:pt idx="14">
                  <c:v>-46.3704535609855</c:v>
                </c:pt>
                <c:pt idx="15">
                  <c:v>-43.7357909086997</c:v>
                </c:pt>
                <c:pt idx="16">
                  <c:v>-40.5343082081261</c:v>
                </c:pt>
                <c:pt idx="17">
                  <c:v>-36.8786675162829</c:v>
                </c:pt>
                <c:pt idx="18">
                  <c:v>-32.8691332357903</c:v>
                </c:pt>
                <c:pt idx="19">
                  <c:v>-28.5911957183989</c:v>
                </c:pt>
                <c:pt idx="20">
                  <c:v>-24.1167455430255</c:v>
                </c:pt>
                <c:pt idx="21">
                  <c:v>-19.5068321638062</c:v>
                </c:pt>
                <c:pt idx="22">
                  <c:v>-14.8148850965183</c:v>
                </c:pt>
                <c:pt idx="23">
                  <c:v>-10.0877816041642</c:v>
                </c:pt>
                <c:pt idx="24">
                  <c:v>-5.26973521548014</c:v>
                </c:pt>
                <c:pt idx="25">
                  <c:v>0.00864991928557446</c:v>
                </c:pt>
                <c:pt idx="26">
                  <c:v>4.2390339251179</c:v>
                </c:pt>
                <c:pt idx="27">
                  <c:v>8.6392394009984</c:v>
                </c:pt>
                <c:pt idx="28">
                  <c:v>12.9106608104844</c:v>
                </c:pt>
                <c:pt idx="29">
                  <c:v>16.9633236693041</c:v>
                </c:pt>
                <c:pt idx="30">
                  <c:v>20.7273160358039</c:v>
                </c:pt>
                <c:pt idx="31">
                  <c:v>24.1318263690166</c:v>
                </c:pt>
                <c:pt idx="32">
                  <c:v>27.1022574740589</c:v>
                </c:pt>
                <c:pt idx="33">
                  <c:v>29.5620280800615</c:v>
                </c:pt>
                <c:pt idx="34">
                  <c:v>31.4373702915026</c:v>
                </c:pt>
                <c:pt idx="35">
                  <c:v>32.6645090031419</c:v>
                </c:pt>
                <c:pt idx="36">
                  <c:v>33.1979368259795</c:v>
                </c:pt>
                <c:pt idx="37">
                  <c:v>33.0175563754541</c:v>
                </c:pt>
                <c:pt idx="38">
                  <c:v>32.1322345353913</c:v>
                </c:pt>
                <c:pt idx="39">
                  <c:v>30.5783876010587</c:v>
                </c:pt>
                <c:pt idx="40">
                  <c:v>28.4141620714773</c:v>
                </c:pt>
                <c:pt idx="41">
                  <c:v>25.7113557165764</c:v>
                </c:pt>
                <c:pt idx="42">
                  <c:v>22.5475483557935</c:v>
                </c:pt>
                <c:pt idx="43">
                  <c:v>19.0001622861468</c:v>
                </c:pt>
                <c:pt idx="44">
                  <c:v>15.1432155888936</c:v>
                </c:pt>
                <c:pt idx="45">
                  <c:v>11.0473572842896</c:v>
                </c:pt>
                <c:pt idx="46">
                  <c:v>6.78680049700946</c:v>
                </c:pt>
                <c:pt idx="47">
                  <c:v>2.48578819891736</c:v>
                </c:pt>
                <c:pt idx="48">
                  <c:v>-1.59678181502914</c:v>
                </c:pt>
              </c:numCache>
            </c:numRef>
          </c:yVal>
          <c:smooth val="0"/>
        </c:ser>
        <c:axId val="91904078"/>
        <c:axId val="24510236"/>
      </c:scatterChart>
      <c:valAx>
        <c:axId val="91904078"/>
        <c:scaling>
          <c:orientation val="minMax"/>
          <c:max val="360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909601809334521"/>
              <c:y val="0.73854981742305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4510236"/>
        <c:crosses val="autoZero"/>
        <c:crossBetween val="midCat"/>
        <c:majorUnit val="30"/>
      </c:valAx>
      <c:valAx>
        <c:axId val="2451023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elev_r</a:t>
                </a:r>
              </a:p>
            </c:rich>
          </c:tx>
          <c:layout>
            <c:manualLayout>
              <c:xMode val="edge"/>
              <c:yMode val="edge"/>
              <c:x val="0.102254814611747"/>
              <c:y val="0.10965049556598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1904078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illuminated fraction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8079911209767"/>
          <c:y val="0.120994475138122"/>
          <c:w val="0.897077321494636"/>
          <c:h val="0.759226519337017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  rise  set'!$D$2:$D$50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'elev  az  illum  rise  set'!$G$2:$G$50</c:f>
              <c:numCache>
                <c:formatCode>General</c:formatCode>
                <c:ptCount val="49"/>
                <c:pt idx="0">
                  <c:v>54.4736968110266</c:v>
                </c:pt>
                <c:pt idx="1">
                  <c:v>54.7036881865528</c:v>
                </c:pt>
                <c:pt idx="2">
                  <c:v>54.9334686312223</c:v>
                </c:pt>
                <c:pt idx="3">
                  <c:v>55.1630335117394</c:v>
                </c:pt>
                <c:pt idx="4">
                  <c:v>55.3923781977808</c:v>
                </c:pt>
                <c:pt idx="5">
                  <c:v>55.6214980774267</c:v>
                </c:pt>
                <c:pt idx="6">
                  <c:v>55.8503885725108</c:v>
                </c:pt>
                <c:pt idx="7">
                  <c:v>56.0790451078856</c:v>
                </c:pt>
                <c:pt idx="8">
                  <c:v>56.3074631268704</c:v>
                </c:pt>
                <c:pt idx="9">
                  <c:v>56.5356381064685</c:v>
                </c:pt>
                <c:pt idx="10">
                  <c:v>56.7635655268362</c:v>
                </c:pt>
                <c:pt idx="11">
                  <c:v>56.9912408865259</c:v>
                </c:pt>
                <c:pt idx="12">
                  <c:v>57.2186597178118</c:v>
                </c:pt>
                <c:pt idx="13">
                  <c:v>57.4458175561189</c:v>
                </c:pt>
                <c:pt idx="14">
                  <c:v>57.6727099553079</c:v>
                </c:pt>
                <c:pt idx="15">
                  <c:v>57.8993325029436</c:v>
                </c:pt>
                <c:pt idx="16">
                  <c:v>58.1256807897544</c:v>
                </c:pt>
                <c:pt idx="17">
                  <c:v>58.3517504249271</c:v>
                </c:pt>
                <c:pt idx="18">
                  <c:v>58.57753705123</c:v>
                </c:pt>
                <c:pt idx="19">
                  <c:v>58.8030363147355</c:v>
                </c:pt>
                <c:pt idx="20">
                  <c:v>59.0282438799062</c:v>
                </c:pt>
                <c:pt idx="21">
                  <c:v>59.2531554447459</c:v>
                </c:pt>
                <c:pt idx="22">
                  <c:v>59.4777667105496</c:v>
                </c:pt>
                <c:pt idx="23">
                  <c:v>59.7020733970213</c:v>
                </c:pt>
                <c:pt idx="24">
                  <c:v>59.9260712573632</c:v>
                </c:pt>
                <c:pt idx="25">
                  <c:v>60.1497560480394</c:v>
                </c:pt>
                <c:pt idx="26">
                  <c:v>60.3731235439535</c:v>
                </c:pt>
                <c:pt idx="27">
                  <c:v>60.5961695533249</c:v>
                </c:pt>
                <c:pt idx="28">
                  <c:v>60.8188898877907</c:v>
                </c:pt>
                <c:pt idx="29">
                  <c:v>61.0412803773109</c:v>
                </c:pt>
                <c:pt idx="30">
                  <c:v>61.2633368850884</c:v>
                </c:pt>
                <c:pt idx="31">
                  <c:v>61.4850552777695</c:v>
                </c:pt>
                <c:pt idx="32">
                  <c:v>61.7064314402771</c:v>
                </c:pt>
                <c:pt idx="33">
                  <c:v>61.9274612906985</c:v>
                </c:pt>
                <c:pt idx="34">
                  <c:v>62.1481407505263</c:v>
                </c:pt>
                <c:pt idx="35">
                  <c:v>62.3684657595535</c:v>
                </c:pt>
                <c:pt idx="36">
                  <c:v>62.5884322905628</c:v>
                </c:pt>
                <c:pt idx="37">
                  <c:v>62.8080363198384</c:v>
                </c:pt>
                <c:pt idx="38">
                  <c:v>63.0272738418368</c:v>
                </c:pt>
                <c:pt idx="39">
                  <c:v>63.2461408839675</c:v>
                </c:pt>
                <c:pt idx="40">
                  <c:v>63.4646334770613</c:v>
                </c:pt>
                <c:pt idx="41">
                  <c:v>63.6827476701456</c:v>
                </c:pt>
                <c:pt idx="42">
                  <c:v>63.9004795450173</c:v>
                </c:pt>
                <c:pt idx="43">
                  <c:v>64.1178251869326</c:v>
                </c:pt>
                <c:pt idx="44">
                  <c:v>64.3347806993425</c:v>
                </c:pt>
                <c:pt idx="45">
                  <c:v>64.551342218217</c:v>
                </c:pt>
                <c:pt idx="46">
                  <c:v>64.7675058831303</c:v>
                </c:pt>
                <c:pt idx="47">
                  <c:v>64.983267851648</c:v>
                </c:pt>
                <c:pt idx="48">
                  <c:v>65.1986243138846</c:v>
                </c:pt>
              </c:numCache>
            </c:numRef>
          </c:yVal>
          <c:smooth val="0"/>
        </c:ser>
        <c:axId val="52792815"/>
        <c:axId val="56494371"/>
      </c:scatterChart>
      <c:valAx>
        <c:axId val="52792815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782537920828709"/>
              <c:y val="0.80640883977900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6494371"/>
        <c:crosses val="autoZero"/>
        <c:crossBetween val="midCat"/>
        <c:majorUnit val="3"/>
      </c:valAx>
      <c:valAx>
        <c:axId val="56494371"/>
        <c:scaling>
          <c:orientation val="minMax"/>
          <c:max val="10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0806511283758787"/>
              <c:y val="0.213812154696133"/>
            </c:manualLayout>
          </c:layout>
          <c:overlay val="0"/>
          <c:spPr>
            <a:noFill/>
            <a:ln w="0">
              <a:noFill/>
            </a:ln>
          </c:spPr>
        </c:title>
        <c:numFmt formatCode="#,#0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2792815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geocentric distance</a:t>
            </a:r>
          </a:p>
        </c:rich>
      </c:tx>
      <c:layout>
        <c:manualLayout>
          <c:xMode val="edge"/>
          <c:yMode val="edge"/>
          <c:x val="0.350245279215107"/>
          <c:y val="0.0251467818765924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665277871111"/>
          <c:y val="0.120527306967985"/>
          <c:w val="0.840870909213091"/>
          <c:h val="0.782208928769248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'distance  declin  RA'!$D$2:$D$50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'distance  declin  RA'!$E$2:$E$50</c:f>
              <c:numCache>
                <c:formatCode>General</c:formatCode>
                <c:ptCount val="49"/>
                <c:pt idx="0">
                  <c:v>375495.904139444</c:v>
                </c:pt>
                <c:pt idx="1">
                  <c:v>375577.824584543</c:v>
                </c:pt>
                <c:pt idx="2">
                  <c:v>375659.787356169</c:v>
                </c:pt>
                <c:pt idx="3">
                  <c:v>375741.790636409</c:v>
                </c:pt>
                <c:pt idx="4">
                  <c:v>375823.832616586</c:v>
                </c:pt>
                <c:pt idx="5">
                  <c:v>375905.911502753</c:v>
                </c:pt>
                <c:pt idx="6">
                  <c:v>375988.025521184</c:v>
                </c:pt>
                <c:pt idx="7">
                  <c:v>376070.172907388</c:v>
                </c:pt>
                <c:pt idx="8">
                  <c:v>376152.351911617</c:v>
                </c:pt>
                <c:pt idx="9">
                  <c:v>376234.560804371</c:v>
                </c:pt>
                <c:pt idx="10">
                  <c:v>376316.797865366</c:v>
                </c:pt>
                <c:pt idx="11">
                  <c:v>376399.061389053</c:v>
                </c:pt>
                <c:pt idx="12">
                  <c:v>376481.349690138</c:v>
                </c:pt>
                <c:pt idx="13">
                  <c:v>376563.661092523</c:v>
                </c:pt>
                <c:pt idx="14">
                  <c:v>376645.993934827</c:v>
                </c:pt>
                <c:pt idx="15">
                  <c:v>376728.346575903</c:v>
                </c:pt>
                <c:pt idx="16">
                  <c:v>376810.717383779</c:v>
                </c:pt>
                <c:pt idx="17">
                  <c:v>376893.104741162</c:v>
                </c:pt>
                <c:pt idx="18">
                  <c:v>376975.507050943</c:v>
                </c:pt>
                <c:pt idx="19">
                  <c:v>377057.922725172</c:v>
                </c:pt>
                <c:pt idx="20">
                  <c:v>377140.350190512</c:v>
                </c:pt>
                <c:pt idx="21">
                  <c:v>377222.787893775</c:v>
                </c:pt>
                <c:pt idx="22">
                  <c:v>377305.234290865</c:v>
                </c:pt>
                <c:pt idx="23">
                  <c:v>377387.687852241</c:v>
                </c:pt>
                <c:pt idx="24">
                  <c:v>377470.14706847</c:v>
                </c:pt>
                <c:pt idx="25">
                  <c:v>377552.610439101</c:v>
                </c:pt>
                <c:pt idx="26">
                  <c:v>377635.07647821</c:v>
                </c:pt>
                <c:pt idx="27">
                  <c:v>377717.543719868</c:v>
                </c:pt>
                <c:pt idx="28">
                  <c:v>377800.010707064</c:v>
                </c:pt>
                <c:pt idx="29">
                  <c:v>377882.475997228</c:v>
                </c:pt>
                <c:pt idx="30">
                  <c:v>377964.9381677</c:v>
                </c:pt>
                <c:pt idx="31">
                  <c:v>378047.395804642</c:v>
                </c:pt>
                <c:pt idx="32">
                  <c:v>378129.847508543</c:v>
                </c:pt>
                <c:pt idx="33">
                  <c:v>378212.291899719</c:v>
                </c:pt>
                <c:pt idx="34">
                  <c:v>378294.727607196</c:v>
                </c:pt>
                <c:pt idx="35">
                  <c:v>378377.153274218</c:v>
                </c:pt>
                <c:pt idx="36">
                  <c:v>378459.567563739</c:v>
                </c:pt>
                <c:pt idx="37">
                  <c:v>378541.969147308</c:v>
                </c:pt>
                <c:pt idx="38">
                  <c:v>378624.356710569</c:v>
                </c:pt>
                <c:pt idx="39">
                  <c:v>378706.728958742</c:v>
                </c:pt>
                <c:pt idx="40">
                  <c:v>378789.084605535</c:v>
                </c:pt>
                <c:pt idx="41">
                  <c:v>378871.422378596</c:v>
                </c:pt>
                <c:pt idx="42">
                  <c:v>378953.741025024</c:v>
                </c:pt>
                <c:pt idx="43">
                  <c:v>379036.039300247</c:v>
                </c:pt>
                <c:pt idx="44">
                  <c:v>379118.315973508</c:v>
                </c:pt>
                <c:pt idx="45">
                  <c:v>379200.569833341</c:v>
                </c:pt>
                <c:pt idx="46">
                  <c:v>379282.799676465</c:v>
                </c:pt>
                <c:pt idx="47">
                  <c:v>379365.004313253</c:v>
                </c:pt>
                <c:pt idx="48">
                  <c:v>379447.182573205</c:v>
                </c:pt>
              </c:numCache>
            </c:numRef>
          </c:yVal>
          <c:smooth val="0"/>
        </c:ser>
        <c:axId val="65288175"/>
        <c:axId val="2457019"/>
      </c:scatterChart>
      <c:valAx>
        <c:axId val="65288175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77346952489752"/>
              <c:y val="0.82906835050404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457019"/>
        <c:crosses val="autoZero"/>
        <c:crossBetween val="midCat"/>
        <c:majorUnit val="3"/>
      </c:valAx>
      <c:valAx>
        <c:axId val="2457019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R / km</a:t>
                </a:r>
              </a:p>
            </c:rich>
          </c:tx>
          <c:layout>
            <c:manualLayout>
              <c:xMode val="edge"/>
              <c:yMode val="edge"/>
              <c:x val="0.135138767555944"/>
              <c:y val="0.1309405117979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5288175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81724845995893"/>
          <c:y val="0.0580193397799266"/>
          <c:w val="0.886036960985626"/>
          <c:h val="0.810047793709014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'distance  declin  RA'!$D$2:$D$50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'distance  declin  RA'!$F$2:$F$50</c:f>
              <c:numCache>
                <c:formatCode>General</c:formatCode>
                <c:ptCount val="49"/>
                <c:pt idx="0">
                  <c:v>-10.54635757293</c:v>
                </c:pt>
                <c:pt idx="1">
                  <c:v>-10.423054782889</c:v>
                </c:pt>
                <c:pt idx="2">
                  <c:v>-10.2995916797777</c:v>
                </c:pt>
                <c:pt idx="3">
                  <c:v>-10.1759712271626</c:v>
                </c:pt>
                <c:pt idx="4">
                  <c:v>-10.0521963845889</c:v>
                </c:pt>
                <c:pt idx="5">
                  <c:v>-9.92827009937895</c:v>
                </c:pt>
                <c:pt idx="6">
                  <c:v>-9.80419529837007</c:v>
                </c:pt>
                <c:pt idx="7">
                  <c:v>-9.67997490460242</c:v>
                </c:pt>
                <c:pt idx="8">
                  <c:v>-9.55561182905612</c:v>
                </c:pt>
                <c:pt idx="9">
                  <c:v>-9.43110896241214</c:v>
                </c:pt>
                <c:pt idx="10">
                  <c:v>-9.30646919174461</c:v>
                </c:pt>
                <c:pt idx="11">
                  <c:v>-9.18169539230728</c:v>
                </c:pt>
                <c:pt idx="12">
                  <c:v>-9.05679041919307</c:v>
                </c:pt>
                <c:pt idx="13">
                  <c:v>-8.93175712414567</c:v>
                </c:pt>
                <c:pt idx="14">
                  <c:v>-8.80659834729083</c:v>
                </c:pt>
                <c:pt idx="15">
                  <c:v>-8.68131690875651</c:v>
                </c:pt>
                <c:pt idx="16">
                  <c:v>-8.55591562559025</c:v>
                </c:pt>
                <c:pt idx="17">
                  <c:v>-8.43039730342596</c:v>
                </c:pt>
                <c:pt idx="18">
                  <c:v>-8.30476472812959</c:v>
                </c:pt>
                <c:pt idx="19">
                  <c:v>-8.17902068269504</c:v>
                </c:pt>
                <c:pt idx="20">
                  <c:v>-8.05316793895265</c:v>
                </c:pt>
                <c:pt idx="21">
                  <c:v>-7.92720924917215</c:v>
                </c:pt>
                <c:pt idx="22">
                  <c:v>-7.80114736302108</c:v>
                </c:pt>
                <c:pt idx="23">
                  <c:v>-7.67498501923616</c:v>
                </c:pt>
                <c:pt idx="24">
                  <c:v>-7.54872493718846</c:v>
                </c:pt>
                <c:pt idx="25">
                  <c:v>-7.42236983394381</c:v>
                </c:pt>
                <c:pt idx="26">
                  <c:v>-7.29592241586049</c:v>
                </c:pt>
                <c:pt idx="27">
                  <c:v>-7.16938537019576</c:v>
                </c:pt>
                <c:pt idx="28">
                  <c:v>-7.04276138212587</c:v>
                </c:pt>
                <c:pt idx="29">
                  <c:v>-6.91605312640049</c:v>
                </c:pt>
                <c:pt idx="30">
                  <c:v>-6.78926325889849</c:v>
                </c:pt>
                <c:pt idx="31">
                  <c:v>-6.66239443369368</c:v>
                </c:pt>
                <c:pt idx="32">
                  <c:v>-6.53544929469296</c:v>
                </c:pt>
                <c:pt idx="33">
                  <c:v>-6.40843046716947</c:v>
                </c:pt>
                <c:pt idx="34">
                  <c:v>-6.28134057489135</c:v>
                </c:pt>
                <c:pt idx="35">
                  <c:v>-6.15418223170381</c:v>
                </c:pt>
                <c:pt idx="36">
                  <c:v>-6.02695803308185</c:v>
                </c:pt>
                <c:pt idx="37">
                  <c:v>-5.8996705732583</c:v>
                </c:pt>
                <c:pt idx="38">
                  <c:v>-5.77232243683785</c:v>
                </c:pt>
                <c:pt idx="39">
                  <c:v>-5.64491619027633</c:v>
                </c:pt>
                <c:pt idx="40">
                  <c:v>-5.51745439911868</c:v>
                </c:pt>
                <c:pt idx="41">
                  <c:v>-5.38993961951243</c:v>
                </c:pt>
                <c:pt idx="42">
                  <c:v>-5.26237438975557</c:v>
                </c:pt>
                <c:pt idx="43">
                  <c:v>-5.13476124749663</c:v>
                </c:pt>
                <c:pt idx="44">
                  <c:v>-5.00710272124842</c:v>
                </c:pt>
                <c:pt idx="45">
                  <c:v>-4.87940132198466</c:v>
                </c:pt>
                <c:pt idx="46">
                  <c:v>-4.75165956026549</c:v>
                </c:pt>
                <c:pt idx="47">
                  <c:v>-4.62387993785272</c:v>
                </c:pt>
                <c:pt idx="48">
                  <c:v>-4.49606493915941</c:v>
                </c:pt>
              </c:numCache>
            </c:numRef>
          </c:yVal>
          <c:smooth val="0"/>
        </c:ser>
        <c:axId val="13425616"/>
        <c:axId val="73588581"/>
      </c:scatterChart>
      <c:valAx>
        <c:axId val="13425616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754140999315537"/>
              <c:y val="0.83672335222852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3588581"/>
        <c:crosses val="autoZero"/>
        <c:crossBetween val="midCat"/>
        <c:majorUnit val="3"/>
      </c:valAx>
      <c:valAx>
        <c:axId val="73588581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declination</a:t>
                </a:r>
              </a:p>
            </c:rich>
          </c:tx>
          <c:layout>
            <c:manualLayout>
              <c:xMode val="edge"/>
              <c:yMode val="edge"/>
              <c:x val="0.105270362765229"/>
              <c:y val="0.389574302545293"/>
            </c:manualLayout>
          </c:layout>
          <c:overlay val="0"/>
          <c:spPr>
            <a:noFill/>
            <a:ln w="0">
              <a:noFill/>
            </a:ln>
          </c:spPr>
        </c:title>
        <c:numFmt formatCode="#,###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3425616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43110140708394"/>
          <c:y val="0.0503633944108916"/>
          <c:w val="0.78056768558952"/>
          <c:h val="0.818712253045348"/>
        </c:manualLayout>
      </c:layout>
      <c:scatterChart>
        <c:scatterStyle val="line"/>
        <c:varyColors val="0"/>
        <c:ser>
          <c:idx val="0"/>
          <c:order val="0"/>
          <c:spPr>
            <a:noFill/>
            <a:ln w="144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'distance  declin  RA'!$D$2:$D$50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'distance  declin  RA'!$G$2:$G$50</c:f>
              <c:numCache>
                <c:formatCode>General</c:formatCode>
                <c:ptCount val="49"/>
                <c:pt idx="0">
                  <c:v>23.1204796385858</c:v>
                </c:pt>
                <c:pt idx="1">
                  <c:v>23.1379755348574</c:v>
                </c:pt>
                <c:pt idx="2">
                  <c:v>23.1554500441761</c:v>
                </c:pt>
                <c:pt idx="3">
                  <c:v>23.1729033477239</c:v>
                </c:pt>
                <c:pt idx="4">
                  <c:v>23.1903356259203</c:v>
                </c:pt>
                <c:pt idx="5">
                  <c:v>23.2077470595801</c:v>
                </c:pt>
                <c:pt idx="6">
                  <c:v>23.2251378310606</c:v>
                </c:pt>
                <c:pt idx="7">
                  <c:v>23.2425081219081</c:v>
                </c:pt>
                <c:pt idx="8">
                  <c:v>23.2598581140171</c:v>
                </c:pt>
                <c:pt idx="9">
                  <c:v>23.2771879907663</c:v>
                </c:pt>
                <c:pt idx="10">
                  <c:v>23.2944979346854</c:v>
                </c:pt>
                <c:pt idx="11">
                  <c:v>23.3117881285961</c:v>
                </c:pt>
                <c:pt idx="12">
                  <c:v>23.32905875676</c:v>
                </c:pt>
                <c:pt idx="13">
                  <c:v>23.3463100025419</c:v>
                </c:pt>
                <c:pt idx="14">
                  <c:v>23.3635420495554</c:v>
                </c:pt>
                <c:pt idx="15">
                  <c:v>23.3807550828078</c:v>
                </c:pt>
                <c:pt idx="16">
                  <c:v>23.3979492863655</c:v>
                </c:pt>
                <c:pt idx="17">
                  <c:v>23.4151248445027</c:v>
                </c:pt>
                <c:pt idx="18">
                  <c:v>23.4322819428353</c:v>
                </c:pt>
                <c:pt idx="19">
                  <c:v>23.4494207660078</c:v>
                </c:pt>
                <c:pt idx="20">
                  <c:v>23.4665414988259</c:v>
                </c:pt>
                <c:pt idx="21">
                  <c:v>23.483644327395</c:v>
                </c:pt>
                <c:pt idx="22">
                  <c:v>23.500729436809</c:v>
                </c:pt>
                <c:pt idx="23">
                  <c:v>23.517797012286</c:v>
                </c:pt>
                <c:pt idx="24">
                  <c:v>23.5348472403039</c:v>
                </c:pt>
                <c:pt idx="25">
                  <c:v>23.5518803062904</c:v>
                </c:pt>
                <c:pt idx="26">
                  <c:v>23.5688963957632</c:v>
                </c:pt>
                <c:pt idx="27">
                  <c:v>23.5858956954534</c:v>
                </c:pt>
                <c:pt idx="28">
                  <c:v>23.6028783910175</c:v>
                </c:pt>
                <c:pt idx="29">
                  <c:v>23.6198446681601</c:v>
                </c:pt>
                <c:pt idx="30">
                  <c:v>23.6367947137634</c:v>
                </c:pt>
                <c:pt idx="31">
                  <c:v>23.6537287136027</c:v>
                </c:pt>
                <c:pt idx="32">
                  <c:v>23.6706468534676</c:v>
                </c:pt>
                <c:pt idx="33">
                  <c:v>23.6875493202905</c:v>
                </c:pt>
                <c:pt idx="34">
                  <c:v>23.7044362998627</c:v>
                </c:pt>
                <c:pt idx="35">
                  <c:v>23.7213079779622</c:v>
                </c:pt>
                <c:pt idx="36">
                  <c:v>23.7381645414714</c:v>
                </c:pt>
                <c:pt idx="37">
                  <c:v>23.7550061761082</c:v>
                </c:pt>
                <c:pt idx="38">
                  <c:v>23.7718330675407</c:v>
                </c:pt>
                <c:pt idx="39">
                  <c:v>23.7886454025149</c:v>
                </c:pt>
                <c:pt idx="40">
                  <c:v>23.8054433665779</c:v>
                </c:pt>
                <c:pt idx="41">
                  <c:v>23.8222271452042</c:v>
                </c:pt>
                <c:pt idx="42">
                  <c:v>23.8389969249093</c:v>
                </c:pt>
                <c:pt idx="43">
                  <c:v>23.8557528909875</c:v>
                </c:pt>
                <c:pt idx="44">
                  <c:v>23.8724952286356</c:v>
                </c:pt>
                <c:pt idx="45">
                  <c:v>23.8892241240536</c:v>
                </c:pt>
                <c:pt idx="46">
                  <c:v>23.9059397622052</c:v>
                </c:pt>
                <c:pt idx="47">
                  <c:v>23.9226423279197</c:v>
                </c:pt>
                <c:pt idx="48">
                  <c:v>23.939332007014</c:v>
                </c:pt>
              </c:numCache>
            </c:numRef>
          </c:yVal>
          <c:smooth val="0"/>
        </c:ser>
        <c:axId val="3957218"/>
        <c:axId val="94568744"/>
      </c:scatterChart>
      <c:valAx>
        <c:axId val="3957218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733260553129549"/>
              <c:y val="0.782986999692906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4568744"/>
        <c:crosses val="autoZero"/>
        <c:crossBetween val="midCat"/>
        <c:majorUnit val="2"/>
      </c:valAx>
      <c:valAx>
        <c:axId val="9456874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RA / h</a:t>
                </a:r>
              </a:p>
            </c:rich>
          </c:tx>
          <c:layout>
            <c:manualLayout>
              <c:xMode val="edge"/>
              <c:yMode val="edge"/>
              <c:x val="0.129124211547792"/>
              <c:y val="0.116490940730883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957218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35908787676633"/>
          <c:y val="0.0502713217978909"/>
          <c:w val="0.738916853660016"/>
          <c:h val="0.81867513054162"/>
        </c:manualLayout>
      </c:layout>
      <c:scatterChart>
        <c:scatterStyle val="line"/>
        <c:varyColors val="0"/>
        <c:ser>
          <c:idx val="0"/>
          <c:order val="0"/>
          <c:spPr>
            <a:noFill/>
            <a:ln w="144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'distance  declin  RA'!$D$2:$D$50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'distance  declin  RA'!$H$2:$H$50</c:f>
              <c:numCache>
                <c:formatCode>General</c:formatCode>
                <c:ptCount val="49"/>
                <c:pt idx="0">
                  <c:v>346.807194578788</c:v>
                </c:pt>
                <c:pt idx="1">
                  <c:v>347.069633022861</c:v>
                </c:pt>
                <c:pt idx="2">
                  <c:v>347.331750662642</c:v>
                </c:pt>
                <c:pt idx="3">
                  <c:v>347.593550215859</c:v>
                </c:pt>
                <c:pt idx="4">
                  <c:v>347.855034388805</c:v>
                </c:pt>
                <c:pt idx="5">
                  <c:v>348.116205893702</c:v>
                </c:pt>
                <c:pt idx="6">
                  <c:v>348.377067465908</c:v>
                </c:pt>
                <c:pt idx="7">
                  <c:v>348.637621828622</c:v>
                </c:pt>
                <c:pt idx="8">
                  <c:v>348.897871710256</c:v>
                </c:pt>
                <c:pt idx="9">
                  <c:v>349.157819861494</c:v>
                </c:pt>
                <c:pt idx="10">
                  <c:v>349.417469020281</c:v>
                </c:pt>
                <c:pt idx="11">
                  <c:v>349.676821928941</c:v>
                </c:pt>
                <c:pt idx="12">
                  <c:v>349.9358813514</c:v>
                </c:pt>
                <c:pt idx="13">
                  <c:v>350.194650038128</c:v>
                </c:pt>
                <c:pt idx="14">
                  <c:v>350.453130743331</c:v>
                </c:pt>
                <c:pt idx="15">
                  <c:v>350.711326242117</c:v>
                </c:pt>
                <c:pt idx="16">
                  <c:v>350.969239295483</c:v>
                </c:pt>
                <c:pt idx="17">
                  <c:v>351.226872667541</c:v>
                </c:pt>
                <c:pt idx="18">
                  <c:v>351.48422914253</c:v>
                </c:pt>
                <c:pt idx="19">
                  <c:v>351.741311490117</c:v>
                </c:pt>
                <c:pt idx="20">
                  <c:v>351.998122482389</c:v>
                </c:pt>
                <c:pt idx="21">
                  <c:v>352.254664910925</c:v>
                </c:pt>
                <c:pt idx="22">
                  <c:v>352.510941552135</c:v>
                </c:pt>
                <c:pt idx="23">
                  <c:v>352.76695518429</c:v>
                </c:pt>
                <c:pt idx="24">
                  <c:v>353.022708604558</c:v>
                </c:pt>
                <c:pt idx="25">
                  <c:v>353.278204594357</c:v>
                </c:pt>
                <c:pt idx="26">
                  <c:v>353.533445936447</c:v>
                </c:pt>
                <c:pt idx="27">
                  <c:v>353.788435431801</c:v>
                </c:pt>
                <c:pt idx="28">
                  <c:v>354.043175865263</c:v>
                </c:pt>
                <c:pt idx="29">
                  <c:v>354.297670022402</c:v>
                </c:pt>
                <c:pt idx="30">
                  <c:v>354.551920706451</c:v>
                </c:pt>
                <c:pt idx="31">
                  <c:v>354.80593070404</c:v>
                </c:pt>
                <c:pt idx="32">
                  <c:v>355.059702802014</c:v>
                </c:pt>
                <c:pt idx="33">
                  <c:v>355.313239804357</c:v>
                </c:pt>
                <c:pt idx="34">
                  <c:v>355.566544497941</c:v>
                </c:pt>
                <c:pt idx="35">
                  <c:v>355.819619669434</c:v>
                </c:pt>
                <c:pt idx="36">
                  <c:v>356.072468122071</c:v>
                </c:pt>
                <c:pt idx="37">
                  <c:v>356.325092641623</c:v>
                </c:pt>
                <c:pt idx="38">
                  <c:v>356.577496013111</c:v>
                </c:pt>
                <c:pt idx="39">
                  <c:v>356.829681037723</c:v>
                </c:pt>
                <c:pt idx="40">
                  <c:v>357.081650498669</c:v>
                </c:pt>
                <c:pt idx="41">
                  <c:v>357.333407178062</c:v>
                </c:pt>
                <c:pt idx="42">
                  <c:v>357.58495387364</c:v>
                </c:pt>
                <c:pt idx="43">
                  <c:v>357.836293364812</c:v>
                </c:pt>
                <c:pt idx="44">
                  <c:v>358.087428429535</c:v>
                </c:pt>
                <c:pt idx="45">
                  <c:v>358.338361860804</c:v>
                </c:pt>
                <c:pt idx="46">
                  <c:v>358.589096433077</c:v>
                </c:pt>
                <c:pt idx="47">
                  <c:v>358.839634918795</c:v>
                </c:pt>
                <c:pt idx="48">
                  <c:v>359.089980105209</c:v>
                </c:pt>
              </c:numCache>
            </c:numRef>
          </c:yVal>
          <c:smooth val="0"/>
        </c:ser>
        <c:axId val="69645410"/>
        <c:axId val="17333416"/>
      </c:scatterChart>
      <c:valAx>
        <c:axId val="69645410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733337376432773"/>
              <c:y val="0.78355687519197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7333416"/>
        <c:crosses val="autoZero"/>
        <c:crossBetween val="midCat"/>
        <c:majorUnit val="2"/>
      </c:valAx>
      <c:valAx>
        <c:axId val="1733341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RA / °</a:t>
                </a:r>
              </a:p>
            </c:rich>
          </c:tx>
          <c:layout>
            <c:manualLayout>
              <c:xMode val="edge"/>
              <c:yMode val="edge"/>
              <c:x val="0.165201043119656"/>
              <c:y val="0.058564554110781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9645410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longitude Moon Lm and longitude Sun 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60344827586207"/>
          <c:y val="0.136826944382894"/>
          <c:w val="0.925349825087456"/>
          <c:h val="0.774761799246621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   B'!$D$2:$D$50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'L   B'!$E$2:$E$50</c:f>
              <c:numCache>
                <c:formatCode>General</c:formatCode>
                <c:ptCount val="49"/>
                <c:pt idx="0">
                  <c:v>343.768043975242</c:v>
                </c:pt>
                <c:pt idx="1">
                  <c:v>344.054621112016</c:v>
                </c:pt>
                <c:pt idx="2">
                  <c:v>344.341064211419</c:v>
                </c:pt>
                <c:pt idx="3">
                  <c:v>344.627373370998</c:v>
                </c:pt>
                <c:pt idx="4">
                  <c:v>344.913548672911</c:v>
                </c:pt>
                <c:pt idx="5">
                  <c:v>345.199590203119</c:v>
                </c:pt>
                <c:pt idx="6">
                  <c:v>345.485498070498</c:v>
                </c:pt>
                <c:pt idx="7">
                  <c:v>345.771272368413</c:v>
                </c:pt>
                <c:pt idx="8">
                  <c:v>346.056913193961</c:v>
                </c:pt>
                <c:pt idx="9">
                  <c:v>346.342420666936</c:v>
                </c:pt>
                <c:pt idx="10">
                  <c:v>346.627794891624</c:v>
                </c:pt>
                <c:pt idx="11">
                  <c:v>346.913035975798</c:v>
                </c:pt>
                <c:pt idx="12">
                  <c:v>347.198144049885</c:v>
                </c:pt>
                <c:pt idx="13">
                  <c:v>347.483119228627</c:v>
                </c:pt>
                <c:pt idx="14">
                  <c:v>347.767961630172</c:v>
                </c:pt>
                <c:pt idx="15">
                  <c:v>348.052671395214</c:v>
                </c:pt>
                <c:pt idx="16">
                  <c:v>348.337248648613</c:v>
                </c:pt>
                <c:pt idx="17">
                  <c:v>348.621693518546</c:v>
                </c:pt>
                <c:pt idx="18">
                  <c:v>348.906006155513</c:v>
                </c:pt>
                <c:pt idx="19">
                  <c:v>349.1901866942</c:v>
                </c:pt>
                <c:pt idx="20">
                  <c:v>349.474235272419</c:v>
                </c:pt>
                <c:pt idx="21">
                  <c:v>349.758152050184</c:v>
                </c:pt>
                <c:pt idx="22">
                  <c:v>350.041937171552</c:v>
                </c:pt>
                <c:pt idx="23">
                  <c:v>350.325590783617</c:v>
                </c:pt>
                <c:pt idx="24">
                  <c:v>350.609113055576</c:v>
                </c:pt>
                <c:pt idx="25">
                  <c:v>350.892504140503</c:v>
                </c:pt>
                <c:pt idx="26">
                  <c:v>351.175764194441</c:v>
                </c:pt>
                <c:pt idx="27">
                  <c:v>351.458893395299</c:v>
                </c:pt>
                <c:pt idx="28">
                  <c:v>351.741891904896</c:v>
                </c:pt>
                <c:pt idx="29">
                  <c:v>352.024759887813</c:v>
                </c:pt>
                <c:pt idx="30">
                  <c:v>352.307497530378</c:v>
                </c:pt>
                <c:pt idx="31">
                  <c:v>352.590105002733</c:v>
                </c:pt>
                <c:pt idx="32">
                  <c:v>352.872582477656</c:v>
                </c:pt>
                <c:pt idx="33">
                  <c:v>353.154930149557</c:v>
                </c:pt>
                <c:pt idx="34">
                  <c:v>353.437148196497</c:v>
                </c:pt>
                <c:pt idx="35">
                  <c:v>353.719236799123</c:v>
                </c:pt>
                <c:pt idx="36">
                  <c:v>354.001196159522</c:v>
                </c:pt>
                <c:pt idx="37">
                  <c:v>354.283026463406</c:v>
                </c:pt>
                <c:pt idx="38">
                  <c:v>354.56472789887</c:v>
                </c:pt>
                <c:pt idx="39">
                  <c:v>354.846300675408</c:v>
                </c:pt>
                <c:pt idx="40">
                  <c:v>355.127744985925</c:v>
                </c:pt>
                <c:pt idx="41">
                  <c:v>355.409061025697</c:v>
                </c:pt>
                <c:pt idx="42">
                  <c:v>355.690249011171</c:v>
                </c:pt>
                <c:pt idx="43">
                  <c:v>355.971309142157</c:v>
                </c:pt>
                <c:pt idx="44">
                  <c:v>356.252241620778</c:v>
                </c:pt>
                <c:pt idx="45">
                  <c:v>356.533046670051</c:v>
                </c:pt>
                <c:pt idx="46">
                  <c:v>356.813724496422</c:v>
                </c:pt>
                <c:pt idx="47">
                  <c:v>357.094275308359</c:v>
                </c:pt>
                <c:pt idx="48">
                  <c:v>357.374699335299</c:v>
                </c:pt>
              </c:numCache>
            </c:numRef>
          </c:yVal>
          <c:smooth val="0"/>
        </c:ser>
        <c:ser>
          <c:idx val="1"/>
          <c:order val="1"/>
          <c:spPr>
            <a:noFill/>
            <a:ln w="216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   B'!$D$2:$D$50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'L   B'!$I$2:$I$50</c:f>
              <c:numCache>
                <c:formatCode>General</c:formatCode>
                <c:ptCount val="49"/>
                <c:pt idx="0">
                  <c:v>249.842053009017</c:v>
                </c:pt>
                <c:pt idx="1">
                  <c:v>249.862587329251</c:v>
                </c:pt>
                <c:pt idx="2">
                  <c:v>249.883121649025</c:v>
                </c:pt>
                <c:pt idx="3">
                  <c:v>249.903655969261</c:v>
                </c:pt>
                <c:pt idx="4">
                  <c:v>249.924190289496</c:v>
                </c:pt>
                <c:pt idx="5">
                  <c:v>249.944724609271</c:v>
                </c:pt>
                <c:pt idx="6">
                  <c:v>249.965258929507</c:v>
                </c:pt>
                <c:pt idx="7">
                  <c:v>249.985793249738</c:v>
                </c:pt>
                <c:pt idx="8">
                  <c:v>250.006327569516</c:v>
                </c:pt>
                <c:pt idx="9">
                  <c:v>250.02686188975</c:v>
                </c:pt>
                <c:pt idx="10">
                  <c:v>250.047396209984</c:v>
                </c:pt>
                <c:pt idx="11">
                  <c:v>250.06793052976</c:v>
                </c:pt>
                <c:pt idx="12">
                  <c:v>250.088464849994</c:v>
                </c:pt>
                <c:pt idx="13">
                  <c:v>250.108999170228</c:v>
                </c:pt>
                <c:pt idx="14">
                  <c:v>250.129533490002</c:v>
                </c:pt>
                <c:pt idx="15">
                  <c:v>250.150067810238</c:v>
                </c:pt>
                <c:pt idx="16">
                  <c:v>250.170602130473</c:v>
                </c:pt>
                <c:pt idx="17">
                  <c:v>250.191136450248</c:v>
                </c:pt>
                <c:pt idx="18">
                  <c:v>250.211670770483</c:v>
                </c:pt>
                <c:pt idx="19">
                  <c:v>250.232205090717</c:v>
                </c:pt>
                <c:pt idx="20">
                  <c:v>250.252739410495</c:v>
                </c:pt>
                <c:pt idx="21">
                  <c:v>250.273273730727</c:v>
                </c:pt>
                <c:pt idx="22">
                  <c:v>250.293808050961</c:v>
                </c:pt>
                <c:pt idx="23">
                  <c:v>250.314342370739</c:v>
                </c:pt>
                <c:pt idx="24">
                  <c:v>250.334876690969</c:v>
                </c:pt>
                <c:pt idx="25">
                  <c:v>250.355411011205</c:v>
                </c:pt>
                <c:pt idx="26">
                  <c:v>250.375945330981</c:v>
                </c:pt>
                <c:pt idx="27">
                  <c:v>250.396479651216</c:v>
                </c:pt>
                <c:pt idx="28">
                  <c:v>250.417013971452</c:v>
                </c:pt>
                <c:pt idx="29">
                  <c:v>250.437548291227</c:v>
                </c:pt>
                <c:pt idx="30">
                  <c:v>250.458082611462</c:v>
                </c:pt>
                <c:pt idx="31">
                  <c:v>250.478616931696</c:v>
                </c:pt>
                <c:pt idx="32">
                  <c:v>250.499151251472</c:v>
                </c:pt>
                <c:pt idx="33">
                  <c:v>250.519685571706</c:v>
                </c:pt>
                <c:pt idx="34">
                  <c:v>250.540219891942</c:v>
                </c:pt>
                <c:pt idx="35">
                  <c:v>250.560754211714</c:v>
                </c:pt>
                <c:pt idx="36">
                  <c:v>250.58128853195</c:v>
                </c:pt>
                <c:pt idx="37">
                  <c:v>250.601822852186</c:v>
                </c:pt>
                <c:pt idx="38">
                  <c:v>250.622357171958</c:v>
                </c:pt>
                <c:pt idx="39">
                  <c:v>250.642891492194</c:v>
                </c:pt>
                <c:pt idx="40">
                  <c:v>250.663425812429</c:v>
                </c:pt>
                <c:pt idx="41">
                  <c:v>250.683960132204</c:v>
                </c:pt>
                <c:pt idx="42">
                  <c:v>250.704494452439</c:v>
                </c:pt>
                <c:pt idx="43">
                  <c:v>250.725028772673</c:v>
                </c:pt>
                <c:pt idx="44">
                  <c:v>250.745563092449</c:v>
                </c:pt>
                <c:pt idx="45">
                  <c:v>250.766097412683</c:v>
                </c:pt>
                <c:pt idx="46">
                  <c:v>250.786631732917</c:v>
                </c:pt>
                <c:pt idx="47">
                  <c:v>250.807166052691</c:v>
                </c:pt>
                <c:pt idx="48">
                  <c:v>250.827700372927</c:v>
                </c:pt>
              </c:numCache>
            </c:numRef>
          </c:yVal>
          <c:smooth val="0"/>
        </c:ser>
        <c:axId val="17794352"/>
        <c:axId val="56621798"/>
      </c:scatterChart>
      <c:valAx>
        <c:axId val="17794352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914417791104448"/>
              <c:y val="0.80412142698869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6621798"/>
        <c:crosses val="autoZero"/>
        <c:crossBetween val="midCat"/>
        <c:majorUnit val="2"/>
      </c:valAx>
      <c:valAx>
        <c:axId val="56621798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200" spc="-1" strike="noStrike">
                    <a:solidFill>
                      <a:srgbClr val="ff0000"/>
                    </a:solidFill>
                    <a:latin typeface="Arial"/>
                  </a:defRPr>
                </a:pPr>
                <a:r>
                  <a:rPr b="1" sz="1200" spc="-1" strike="noStrike">
                    <a:solidFill>
                      <a:srgbClr val="ff0000"/>
                    </a:solidFill>
                    <a:latin typeface="Arial"/>
                  </a:rPr>
                  <a:t>Lsun</a:t>
                </a:r>
              </a:p>
            </c:rich>
          </c:tx>
          <c:layout>
            <c:manualLayout>
              <c:xMode val="edge"/>
              <c:yMode val="edge"/>
              <c:x val="0.0798975512243878"/>
              <c:y val="0.17737646798138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7794352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angular velocity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01631343183794"/>
          <c:y val="0.124173843380733"/>
          <c:w val="0.885672260480043"/>
          <c:h val="0.792309232926097"/>
        </c:manualLayout>
      </c:layout>
      <c:scatterChart>
        <c:scatterStyle val="line"/>
        <c:varyColors val="0"/>
        <c:ser>
          <c:idx val="0"/>
          <c:order val="0"/>
          <c:spPr>
            <a:noFill/>
            <a:ln w="28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   B'!$D$2:$D$50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'L   B'!$F$2:$F$50</c:f>
              <c:numCache>
                <c:formatCode>General</c:formatCode>
                <c:ptCount val="49"/>
                <c:pt idx="1">
                  <c:v>0.573154273546948</c:v>
                </c:pt>
                <c:pt idx="2">
                  <c:v>0.572886198807055</c:v>
                </c:pt>
                <c:pt idx="3">
                  <c:v>0.572618319156959</c:v>
                </c:pt>
                <c:pt idx="4">
                  <c:v>0.572350603826521</c:v>
                </c:pt>
                <c:pt idx="5">
                  <c:v>0.572083060415821</c:v>
                </c:pt>
                <c:pt idx="6">
                  <c:v>0.571815734757024</c:v>
                </c:pt>
                <c:pt idx="7">
                  <c:v>0.571548595829881</c:v>
                </c:pt>
                <c:pt idx="8">
                  <c:v>0.571281651096342</c:v>
                </c:pt>
                <c:pt idx="9">
                  <c:v>0.571014945950424</c:v>
                </c:pt>
                <c:pt idx="10">
                  <c:v>0.57074844937631</c:v>
                </c:pt>
                <c:pt idx="11">
                  <c:v>0.570482168348235</c:v>
                </c:pt>
                <c:pt idx="12">
                  <c:v>0.570216148173131</c:v>
                </c:pt>
                <c:pt idx="13">
                  <c:v>0.569950357485141</c:v>
                </c:pt>
                <c:pt idx="14">
                  <c:v>0.569684803089331</c:v>
                </c:pt>
                <c:pt idx="15">
                  <c:v>0.569419530083451</c:v>
                </c:pt>
                <c:pt idx="16">
                  <c:v>0.569154506797759</c:v>
                </c:pt>
                <c:pt idx="17">
                  <c:v>0.568889739867586</c:v>
                </c:pt>
                <c:pt idx="18">
                  <c:v>0.56862527393298</c:v>
                </c:pt>
                <c:pt idx="19">
                  <c:v>0.568361077374561</c:v>
                </c:pt>
                <c:pt idx="20">
                  <c:v>0.56809715643783</c:v>
                </c:pt>
                <c:pt idx="21">
                  <c:v>0.567833555529433</c:v>
                </c:pt>
                <c:pt idx="22">
                  <c:v>0.567570242735769</c:v>
                </c:pt>
                <c:pt idx="23">
                  <c:v>0.567307224130673</c:v>
                </c:pt>
                <c:pt idx="24">
                  <c:v>0.567044543917632</c:v>
                </c:pt>
                <c:pt idx="25">
                  <c:v>0.566782169853696</c:v>
                </c:pt>
                <c:pt idx="26">
                  <c:v>0.566520107876954</c:v>
                </c:pt>
                <c:pt idx="27">
                  <c:v>0.566258401715913</c:v>
                </c:pt>
                <c:pt idx="28">
                  <c:v>0.565997019194128</c:v>
                </c:pt>
                <c:pt idx="29">
                  <c:v>0.565735965834165</c:v>
                </c:pt>
                <c:pt idx="30">
                  <c:v>0.565475285130106</c:v>
                </c:pt>
                <c:pt idx="31">
                  <c:v>0.565214944709396</c:v>
                </c:pt>
                <c:pt idx="32">
                  <c:v>0.564954949845514</c:v>
                </c:pt>
                <c:pt idx="33">
                  <c:v>0.564695343802555</c:v>
                </c:pt>
                <c:pt idx="34">
                  <c:v>0.564436093879408</c:v>
                </c:pt>
                <c:pt idx="35">
                  <c:v>0.564177205253145</c:v>
                </c:pt>
                <c:pt idx="36">
                  <c:v>0.563918720797915</c:v>
                </c:pt>
                <c:pt idx="37">
                  <c:v>0.563660607766678</c:v>
                </c:pt>
                <c:pt idx="38">
                  <c:v>0.563402870928712</c:v>
                </c:pt>
                <c:pt idx="39">
                  <c:v>0.563145553075515</c:v>
                </c:pt>
                <c:pt idx="40">
                  <c:v>0.562888621035086</c:v>
                </c:pt>
                <c:pt idx="41">
                  <c:v>0.562632079543846</c:v>
                </c:pt>
                <c:pt idx="42">
                  <c:v>0.56237597094696</c:v>
                </c:pt>
                <c:pt idx="43">
                  <c:v>0.562120261973064</c:v>
                </c:pt>
                <c:pt idx="44">
                  <c:v>0.56186495724171</c:v>
                </c:pt>
                <c:pt idx="45">
                  <c:v>0.561610098545657</c:v>
                </c:pt>
                <c:pt idx="46">
                  <c:v>0.56135565274235</c:v>
                </c:pt>
                <c:pt idx="47">
                  <c:v>0.561101623873469</c:v>
                </c:pt>
                <c:pt idx="48">
                  <c:v>0.560848053881387</c:v>
                </c:pt>
              </c:numCache>
            </c:numRef>
          </c:yVal>
          <c:smooth val="0"/>
        </c:ser>
        <c:axId val="21244225"/>
        <c:axId val="61970112"/>
      </c:scatterChart>
      <c:valAx>
        <c:axId val="21244225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74306344855252"/>
              <c:y val="0.85029040656919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1970112"/>
        <c:crosses val="autoZero"/>
        <c:crossBetween val="midCat"/>
        <c:majorUnit val="3"/>
      </c:valAx>
      <c:valAx>
        <c:axId val="61970112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∆L / ° per hour</a:t>
                </a:r>
              </a:p>
            </c:rich>
          </c:tx>
          <c:layout>
            <c:manualLayout>
              <c:xMode val="edge"/>
              <c:yMode val="edge"/>
              <c:x val="0.111051681486929"/>
              <c:y val="0.34538353695173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1244225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2280701754386"/>
          <c:y val="0.112884834663626"/>
          <c:w val="0.808952987450833"/>
          <c:h val="0.78922901499868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144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   B'!$D$2:$D$50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'L   B'!$H$2:$H$50</c:f>
              <c:numCache>
                <c:formatCode>General</c:formatCode>
                <c:ptCount val="49"/>
                <c:pt idx="0">
                  <c:v>-0.494945561708056</c:v>
                </c:pt>
                <c:pt idx="1">
                  <c:v>-0.493485015239775</c:v>
                </c:pt>
                <c:pt idx="2">
                  <c:v>-0.492012826208205</c:v>
                </c:pt>
                <c:pt idx="3">
                  <c:v>-0.490529046815732</c:v>
                </c:pt>
                <c:pt idx="4">
                  <c:v>-0.489033729525153</c:v>
                </c:pt>
                <c:pt idx="5">
                  <c:v>-0.487526926960478</c:v>
                </c:pt>
                <c:pt idx="6">
                  <c:v>-0.486008691802262</c:v>
                </c:pt>
                <c:pt idx="7">
                  <c:v>-0.484479076987056</c:v>
                </c:pt>
                <c:pt idx="8">
                  <c:v>-0.482938135605662</c:v>
                </c:pt>
                <c:pt idx="9">
                  <c:v>-0.481385920796211</c:v>
                </c:pt>
                <c:pt idx="10">
                  <c:v>-0.479822485949049</c:v>
                </c:pt>
                <c:pt idx="11">
                  <c:v>-0.478247884601561</c:v>
                </c:pt>
                <c:pt idx="12">
                  <c:v>-0.476662170330233</c:v>
                </c:pt>
                <c:pt idx="13">
                  <c:v>-0.475065396958709</c:v>
                </c:pt>
                <c:pt idx="14">
                  <c:v>-0.473457618452201</c:v>
                </c:pt>
                <c:pt idx="15">
                  <c:v>-0.471838888805587</c:v>
                </c:pt>
                <c:pt idx="16">
                  <c:v>-0.470209262257276</c:v>
                </c:pt>
                <c:pt idx="17">
                  <c:v>-0.468568793180912</c:v>
                </c:pt>
                <c:pt idx="18">
                  <c:v>-0.466917535971281</c:v>
                </c:pt>
                <c:pt idx="19">
                  <c:v>-0.465255545263318</c:v>
                </c:pt>
                <c:pt idx="20">
                  <c:v>-0.463582875820183</c:v>
                </c:pt>
                <c:pt idx="21">
                  <c:v>-0.461899582419099</c:v>
                </c:pt>
                <c:pt idx="22">
                  <c:v>-0.460205720072594</c:v>
                </c:pt>
                <c:pt idx="23">
                  <c:v>-0.458501343916568</c:v>
                </c:pt>
                <c:pt idx="24">
                  <c:v>-0.456786509092153</c:v>
                </c:pt>
                <c:pt idx="25">
                  <c:v>-0.455061270972692</c:v>
                </c:pt>
                <c:pt idx="26">
                  <c:v>-0.453325685049005</c:v>
                </c:pt>
                <c:pt idx="27">
                  <c:v>-0.451579806809316</c:v>
                </c:pt>
                <c:pt idx="28">
                  <c:v>-0.449823691971068</c:v>
                </c:pt>
                <c:pt idx="29">
                  <c:v>-0.448057396362916</c:v>
                </c:pt>
                <c:pt idx="30">
                  <c:v>-0.446280975803835</c:v>
                </c:pt>
                <c:pt idx="31">
                  <c:v>-0.444494486338576</c:v>
                </c:pt>
                <c:pt idx="32">
                  <c:v>-0.442697984117623</c:v>
                </c:pt>
                <c:pt idx="33">
                  <c:v>-0.440891525274913</c:v>
                </c:pt>
                <c:pt idx="34">
                  <c:v>-0.439075166166099</c:v>
                </c:pt>
                <c:pt idx="35">
                  <c:v>-0.43724896324833</c:v>
                </c:pt>
                <c:pt idx="36">
                  <c:v>-0.435412972954101</c:v>
                </c:pt>
                <c:pt idx="37">
                  <c:v>-0.433567251935528</c:v>
                </c:pt>
                <c:pt idx="38">
                  <c:v>-0.431711856940274</c:v>
                </c:pt>
                <c:pt idx="39">
                  <c:v>-0.429846844684937</c:v>
                </c:pt>
                <c:pt idx="40">
                  <c:v>-0.427972272102637</c:v>
                </c:pt>
                <c:pt idx="41">
                  <c:v>-0.426088196217003</c:v>
                </c:pt>
                <c:pt idx="42">
                  <c:v>-0.424194674014404</c:v>
                </c:pt>
                <c:pt idx="43">
                  <c:v>-0.422291762693896</c:v>
                </c:pt>
                <c:pt idx="44">
                  <c:v>-0.420379519541458</c:v>
                </c:pt>
                <c:pt idx="45">
                  <c:v>-0.418458001798045</c:v>
                </c:pt>
                <c:pt idx="46">
                  <c:v>-0.416527266915769</c:v>
                </c:pt>
                <c:pt idx="47">
                  <c:v>-0.414587372427991</c:v>
                </c:pt>
                <c:pt idx="48">
                  <c:v>-0.412638375817304</c:v>
                </c:pt>
              </c:numCache>
            </c:numRef>
          </c:yVal>
          <c:smooth val="0"/>
        </c:ser>
        <c:axId val="68306066"/>
        <c:axId val="43387452"/>
      </c:scatterChart>
      <c:valAx>
        <c:axId val="68306066"/>
        <c:scaling>
          <c:orientation val="minMax"/>
          <c:max val="24"/>
          <c:min val="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latin typeface="Arial"/>
                  </a:defRPr>
                </a:pPr>
                <a:r>
                  <a:rPr b="1" sz="1100" spc="-1" strike="noStrike">
                    <a:latin typeface="Arial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06143472560405"/>
              <c:y val="0.82905008332602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3387452"/>
        <c:crosses val="autoZero"/>
        <c:crossBetween val="midCat"/>
        <c:majorUnit val="2"/>
      </c:valAx>
      <c:valAx>
        <c:axId val="4338745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ff"/>
                    </a:solidFill>
                    <a:latin typeface="Arial"/>
                  </a:defRPr>
                </a:pPr>
                <a:r>
                  <a:rPr b="1" sz="1100" spc="-1" strike="noStrike">
                    <a:solidFill>
                      <a:srgbClr val="0000ff"/>
                    </a:solidFill>
                    <a:latin typeface="Arial"/>
                  </a:rPr>
                  <a:t>Bmoon / °</a:t>
                </a:r>
              </a:p>
            </c:rich>
          </c:tx>
          <c:layout>
            <c:manualLayout>
              <c:xMode val="edge"/>
              <c:yMode val="edge"/>
              <c:x val="0.146282075294999"/>
              <c:y val="0.140601701605122"/>
            </c:manualLayout>
          </c:layout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8306066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14125350795136"/>
          <c:y val="0.0537886872998933"/>
          <c:w val="0.848528459379722"/>
          <c:h val="0.855069370330843"/>
        </c:manualLayout>
      </c:layout>
      <c:scatterChart>
        <c:scatterStyle val="line"/>
        <c:varyColors val="0"/>
        <c:ser>
          <c:idx val="0"/>
          <c:order val="0"/>
          <c:spPr>
            <a:noFill/>
            <a:ln w="180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'sol ecl'!$D$2:$D$50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'sol ecl'!$E$2:$E$50</c:f>
              <c:numCache>
                <c:formatCode>General</c:formatCode>
                <c:ptCount val="49"/>
                <c:pt idx="0">
                  <c:v>343.768043975242</c:v>
                </c:pt>
                <c:pt idx="1">
                  <c:v>344.054621112016</c:v>
                </c:pt>
                <c:pt idx="2">
                  <c:v>344.341064211419</c:v>
                </c:pt>
                <c:pt idx="3">
                  <c:v>344.627373370998</c:v>
                </c:pt>
                <c:pt idx="4">
                  <c:v>344.913548672911</c:v>
                </c:pt>
                <c:pt idx="5">
                  <c:v>345.199590203119</c:v>
                </c:pt>
                <c:pt idx="6">
                  <c:v>345.485498070498</c:v>
                </c:pt>
                <c:pt idx="7">
                  <c:v>345.771272368413</c:v>
                </c:pt>
                <c:pt idx="8">
                  <c:v>346.056913193961</c:v>
                </c:pt>
                <c:pt idx="9">
                  <c:v>346.342420666936</c:v>
                </c:pt>
                <c:pt idx="10">
                  <c:v>346.627794891624</c:v>
                </c:pt>
                <c:pt idx="11">
                  <c:v>346.913035975798</c:v>
                </c:pt>
                <c:pt idx="12">
                  <c:v>347.198144049885</c:v>
                </c:pt>
                <c:pt idx="13">
                  <c:v>347.483119228627</c:v>
                </c:pt>
                <c:pt idx="14">
                  <c:v>347.767961630172</c:v>
                </c:pt>
                <c:pt idx="15">
                  <c:v>348.052671395214</c:v>
                </c:pt>
                <c:pt idx="16">
                  <c:v>348.337248648613</c:v>
                </c:pt>
                <c:pt idx="17">
                  <c:v>348.621693518546</c:v>
                </c:pt>
                <c:pt idx="18">
                  <c:v>348.906006155513</c:v>
                </c:pt>
                <c:pt idx="19">
                  <c:v>349.1901866942</c:v>
                </c:pt>
                <c:pt idx="20">
                  <c:v>349.474235272419</c:v>
                </c:pt>
                <c:pt idx="21">
                  <c:v>349.758152050184</c:v>
                </c:pt>
                <c:pt idx="22">
                  <c:v>350.041937171552</c:v>
                </c:pt>
                <c:pt idx="23">
                  <c:v>350.325590783617</c:v>
                </c:pt>
                <c:pt idx="24">
                  <c:v>350.609113055576</c:v>
                </c:pt>
                <c:pt idx="25">
                  <c:v>350.892504140503</c:v>
                </c:pt>
                <c:pt idx="26">
                  <c:v>351.175764194441</c:v>
                </c:pt>
                <c:pt idx="27">
                  <c:v>351.458893395299</c:v>
                </c:pt>
                <c:pt idx="28">
                  <c:v>351.741891904896</c:v>
                </c:pt>
                <c:pt idx="29">
                  <c:v>352.024759887813</c:v>
                </c:pt>
                <c:pt idx="30">
                  <c:v>352.307497530378</c:v>
                </c:pt>
                <c:pt idx="31">
                  <c:v>352.590105002733</c:v>
                </c:pt>
                <c:pt idx="32">
                  <c:v>352.872582477656</c:v>
                </c:pt>
                <c:pt idx="33">
                  <c:v>353.154930149557</c:v>
                </c:pt>
                <c:pt idx="34">
                  <c:v>353.437148196497</c:v>
                </c:pt>
                <c:pt idx="35">
                  <c:v>353.719236799123</c:v>
                </c:pt>
                <c:pt idx="36">
                  <c:v>354.001196159522</c:v>
                </c:pt>
                <c:pt idx="37">
                  <c:v>354.283026463406</c:v>
                </c:pt>
                <c:pt idx="38">
                  <c:v>354.56472789887</c:v>
                </c:pt>
                <c:pt idx="39">
                  <c:v>354.846300675408</c:v>
                </c:pt>
                <c:pt idx="40">
                  <c:v>355.127744985925</c:v>
                </c:pt>
                <c:pt idx="41">
                  <c:v>355.409061025697</c:v>
                </c:pt>
                <c:pt idx="42">
                  <c:v>355.690249011171</c:v>
                </c:pt>
                <c:pt idx="43">
                  <c:v>355.971309142157</c:v>
                </c:pt>
                <c:pt idx="44">
                  <c:v>356.252241620778</c:v>
                </c:pt>
                <c:pt idx="45">
                  <c:v>356.533046670051</c:v>
                </c:pt>
                <c:pt idx="46">
                  <c:v>356.813724496422</c:v>
                </c:pt>
                <c:pt idx="47">
                  <c:v>357.094275308359</c:v>
                </c:pt>
                <c:pt idx="48">
                  <c:v>357.374699335299</c:v>
                </c:pt>
              </c:numCache>
            </c:numRef>
          </c:yVal>
          <c:smooth val="0"/>
        </c:ser>
        <c:ser>
          <c:idx val="1"/>
          <c:order val="1"/>
          <c:spPr>
            <a:noFill/>
            <a:ln w="180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'sol ecl'!$D$2:$D$50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'sol ecl'!$F$2:$F$50</c:f>
              <c:numCache>
                <c:formatCode>General</c:formatCode>
                <c:ptCount val="49"/>
                <c:pt idx="0">
                  <c:v>249.842053009017</c:v>
                </c:pt>
                <c:pt idx="1">
                  <c:v>249.862587329251</c:v>
                </c:pt>
                <c:pt idx="2">
                  <c:v>249.883121649025</c:v>
                </c:pt>
                <c:pt idx="3">
                  <c:v>249.903655969261</c:v>
                </c:pt>
                <c:pt idx="4">
                  <c:v>249.924190289496</c:v>
                </c:pt>
                <c:pt idx="5">
                  <c:v>249.944724609271</c:v>
                </c:pt>
                <c:pt idx="6">
                  <c:v>249.965258929507</c:v>
                </c:pt>
                <c:pt idx="7">
                  <c:v>249.985793249738</c:v>
                </c:pt>
                <c:pt idx="8">
                  <c:v>250.006327569516</c:v>
                </c:pt>
                <c:pt idx="9">
                  <c:v>250.02686188975</c:v>
                </c:pt>
                <c:pt idx="10">
                  <c:v>250.047396209984</c:v>
                </c:pt>
                <c:pt idx="11">
                  <c:v>250.06793052976</c:v>
                </c:pt>
                <c:pt idx="12">
                  <c:v>250.088464849994</c:v>
                </c:pt>
                <c:pt idx="13">
                  <c:v>250.108999170228</c:v>
                </c:pt>
                <c:pt idx="14">
                  <c:v>250.129533490002</c:v>
                </c:pt>
                <c:pt idx="15">
                  <c:v>250.150067810238</c:v>
                </c:pt>
                <c:pt idx="16">
                  <c:v>250.170602130473</c:v>
                </c:pt>
                <c:pt idx="17">
                  <c:v>250.191136450248</c:v>
                </c:pt>
                <c:pt idx="18">
                  <c:v>250.211670770483</c:v>
                </c:pt>
                <c:pt idx="19">
                  <c:v>250.232205090717</c:v>
                </c:pt>
                <c:pt idx="20">
                  <c:v>250.252739410495</c:v>
                </c:pt>
                <c:pt idx="21">
                  <c:v>250.273273730727</c:v>
                </c:pt>
                <c:pt idx="22">
                  <c:v>250.293808050961</c:v>
                </c:pt>
                <c:pt idx="23">
                  <c:v>250.314342370739</c:v>
                </c:pt>
                <c:pt idx="24">
                  <c:v>250.334876690969</c:v>
                </c:pt>
                <c:pt idx="25">
                  <c:v>250.355411011205</c:v>
                </c:pt>
                <c:pt idx="26">
                  <c:v>250.375945330981</c:v>
                </c:pt>
                <c:pt idx="27">
                  <c:v>250.396479651216</c:v>
                </c:pt>
                <c:pt idx="28">
                  <c:v>250.417013971452</c:v>
                </c:pt>
                <c:pt idx="29">
                  <c:v>250.437548291227</c:v>
                </c:pt>
                <c:pt idx="30">
                  <c:v>250.458082611462</c:v>
                </c:pt>
                <c:pt idx="31">
                  <c:v>250.478616931696</c:v>
                </c:pt>
                <c:pt idx="32">
                  <c:v>250.499151251472</c:v>
                </c:pt>
                <c:pt idx="33">
                  <c:v>250.519685571706</c:v>
                </c:pt>
                <c:pt idx="34">
                  <c:v>250.540219891942</c:v>
                </c:pt>
                <c:pt idx="35">
                  <c:v>250.560754211714</c:v>
                </c:pt>
                <c:pt idx="36">
                  <c:v>250.58128853195</c:v>
                </c:pt>
                <c:pt idx="37">
                  <c:v>250.601822852186</c:v>
                </c:pt>
                <c:pt idx="38">
                  <c:v>250.622357171958</c:v>
                </c:pt>
                <c:pt idx="39">
                  <c:v>250.642891492194</c:v>
                </c:pt>
                <c:pt idx="40">
                  <c:v>250.663425812429</c:v>
                </c:pt>
                <c:pt idx="41">
                  <c:v>250.683960132204</c:v>
                </c:pt>
                <c:pt idx="42">
                  <c:v>250.704494452439</c:v>
                </c:pt>
                <c:pt idx="43">
                  <c:v>250.725028772673</c:v>
                </c:pt>
                <c:pt idx="44">
                  <c:v>250.745563092449</c:v>
                </c:pt>
                <c:pt idx="45">
                  <c:v>250.766097412683</c:v>
                </c:pt>
                <c:pt idx="46">
                  <c:v>250.786631732917</c:v>
                </c:pt>
                <c:pt idx="47">
                  <c:v>250.807166052691</c:v>
                </c:pt>
                <c:pt idx="48">
                  <c:v>250.827700372927</c:v>
                </c:pt>
              </c:numCache>
            </c:numRef>
          </c:yVal>
          <c:smooth val="0"/>
        </c:ser>
        <c:axId val="66149358"/>
        <c:axId val="90231718"/>
      </c:scatterChart>
      <c:valAx>
        <c:axId val="66149358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34136864071382"/>
              <c:y val="0.80490928495197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0231718"/>
        <c:crosses val="autoZero"/>
        <c:crossBetween val="midCat"/>
        <c:majorUnit val="2"/>
      </c:valAx>
      <c:valAx>
        <c:axId val="90231718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200" spc="-1" strike="noStrike">
                    <a:solidFill>
                      <a:srgbClr val="0000ff"/>
                    </a:solidFill>
                    <a:latin typeface="Calibri"/>
                  </a:defRPr>
                </a:pPr>
                <a:r>
                  <a:rPr b="1" sz="1200" spc="-1" strike="noStrike">
                    <a:solidFill>
                      <a:srgbClr val="0000ff"/>
                    </a:solidFill>
                    <a:latin typeface="Calibri"/>
                  </a:rPr>
                  <a:t>Lmoon</a:t>
                </a:r>
              </a:p>
            </c:rich>
          </c:tx>
          <c:layout>
            <c:manualLayout>
              <c:xMode val="edge"/>
              <c:yMode val="edge"/>
              <c:x val="0.123120097862848"/>
              <c:y val="0.070651013874066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6149358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9359283989203"/>
          <c:y val="0.0451261531621652"/>
          <c:w val="0.883648245489416"/>
          <c:h val="0.85028342780927"/>
        </c:manualLayout>
      </c:layout>
      <c:scatterChart>
        <c:scatterStyle val="line"/>
        <c:varyColors val="0"/>
        <c:ser>
          <c:idx val="0"/>
          <c:order val="0"/>
          <c:spPr>
            <a:noFill/>
            <a:ln w="180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'sol ecl'!$D$2:$D$50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'sol ecl'!$G$2:$G$50</c:f>
              <c:numCache>
                <c:formatCode>General</c:formatCode>
                <c:ptCount val="49"/>
                <c:pt idx="0">
                  <c:v>-0.0787730327072318</c:v>
                </c:pt>
                <c:pt idx="1">
                  <c:v>-0.0785405795171895</c:v>
                </c:pt>
                <c:pt idx="2">
                  <c:v>-0.0783062733556495</c:v>
                </c:pt>
                <c:pt idx="3">
                  <c:v>-0.0780701225308794</c:v>
                </c:pt>
                <c:pt idx="4">
                  <c:v>-0.077832135392593</c:v>
                </c:pt>
                <c:pt idx="5">
                  <c:v>-0.0775923203161615</c:v>
                </c:pt>
                <c:pt idx="6">
                  <c:v>-0.0773506856859555</c:v>
                </c:pt>
                <c:pt idx="7">
                  <c:v>-0.0771072399270888</c:v>
                </c:pt>
                <c:pt idx="8">
                  <c:v>-0.0768619914892252</c:v>
                </c:pt>
                <c:pt idx="9">
                  <c:v>-0.0766149488295606</c:v>
                </c:pt>
                <c:pt idx="10">
                  <c:v>-0.0763661204454326</c:v>
                </c:pt>
                <c:pt idx="11">
                  <c:v>-0.0761155148575807</c:v>
                </c:pt>
                <c:pt idx="12">
                  <c:v>-0.0758631405929675</c:v>
                </c:pt>
                <c:pt idx="13">
                  <c:v>-0.0756090062178921</c:v>
                </c:pt>
                <c:pt idx="14">
                  <c:v>-0.0753531203211843</c:v>
                </c:pt>
                <c:pt idx="15">
                  <c:v>-0.0750954914963963</c:v>
                </c:pt>
                <c:pt idx="16">
                  <c:v>-0.0748361283758389</c:v>
                </c:pt>
                <c:pt idx="17">
                  <c:v>-0.0745750396133461</c:v>
                </c:pt>
                <c:pt idx="18">
                  <c:v>-0.0743122338661173</c:v>
                </c:pt>
                <c:pt idx="19">
                  <c:v>-0.0740477198295722</c:v>
                </c:pt>
                <c:pt idx="20">
                  <c:v>-0.0737815062195385</c:v>
                </c:pt>
                <c:pt idx="21">
                  <c:v>-0.0735136017540819</c:v>
                </c:pt>
                <c:pt idx="22">
                  <c:v>-0.0732440151887183</c:v>
                </c:pt>
                <c:pt idx="23">
                  <c:v>-0.0729727552985988</c:v>
                </c:pt>
                <c:pt idx="24">
                  <c:v>-0.0726998308597072</c:v>
                </c:pt>
                <c:pt idx="25">
                  <c:v>-0.0724252506849844</c:v>
                </c:pt>
                <c:pt idx="26">
                  <c:v>-0.0721490236060689</c:v>
                </c:pt>
                <c:pt idx="27">
                  <c:v>-0.0718711584541858</c:v>
                </c:pt>
                <c:pt idx="28">
                  <c:v>-0.0715916640970417</c:v>
                </c:pt>
                <c:pt idx="29">
                  <c:v>-0.0713105494200428</c:v>
                </c:pt>
                <c:pt idx="30">
                  <c:v>-0.0710278233070548</c:v>
                </c:pt>
                <c:pt idx="31">
                  <c:v>-0.0707434946778774</c:v>
                </c:pt>
                <c:pt idx="32">
                  <c:v>-0.0704575724691371</c:v>
                </c:pt>
                <c:pt idx="33">
                  <c:v>-0.0701700656148278</c:v>
                </c:pt>
                <c:pt idx="34">
                  <c:v>-0.0698809830842299</c:v>
                </c:pt>
                <c:pt idx="35">
                  <c:v>-0.0695903338627783</c:v>
                </c:pt>
                <c:pt idx="36">
                  <c:v>-0.069298126931983</c:v>
                </c:pt>
                <c:pt idx="37">
                  <c:v>-0.0690043713083084</c:v>
                </c:pt>
                <c:pt idx="38">
                  <c:v>-0.0687090760234258</c:v>
                </c:pt>
                <c:pt idx="39">
                  <c:v>-0.068412250104062</c:v>
                </c:pt>
                <c:pt idx="40">
                  <c:v>-0.0681139026114044</c:v>
                </c:pt>
                <c:pt idx="41">
                  <c:v>-0.0678140426210454</c:v>
                </c:pt>
                <c:pt idx="42">
                  <c:v>-0.0675126792026475</c:v>
                </c:pt>
                <c:pt idx="43">
                  <c:v>-0.0672098214597232</c:v>
                </c:pt>
                <c:pt idx="44">
                  <c:v>-0.0669054785096191</c:v>
                </c:pt>
                <c:pt idx="45">
                  <c:v>-0.066599659462516</c:v>
                </c:pt>
                <c:pt idx="46">
                  <c:v>-0.066292373462202</c:v>
                </c:pt>
                <c:pt idx="47">
                  <c:v>-0.0659836296653954</c:v>
                </c:pt>
                <c:pt idx="48">
                  <c:v>-0.0656734372207351</c:v>
                </c:pt>
              </c:numCache>
            </c:numRef>
          </c:yVal>
          <c:smooth val="0"/>
        </c:ser>
        <c:axId val="45623625"/>
        <c:axId val="64077529"/>
      </c:scatterChart>
      <c:valAx>
        <c:axId val="45623625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38826537860492"/>
              <c:y val="0.7740357897076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4077529"/>
        <c:crosses val="autoZero"/>
        <c:crossBetween val="midCat"/>
        <c:majorUnit val="2"/>
      </c:valAx>
      <c:valAx>
        <c:axId val="64077529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ff00ff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ff00ff"/>
                    </a:solidFill>
                    <a:latin typeface="Calibri"/>
                  </a:rPr>
                  <a:t>Bm</a:t>
                </a:r>
              </a:p>
            </c:rich>
          </c:tx>
          <c:layout>
            <c:manualLayout>
              <c:xMode val="edge"/>
              <c:yMode val="edge"/>
              <c:x val="0.121679215797699"/>
              <c:y val="0.183950205624097"/>
            </c:manualLayout>
          </c:layout>
          <c:overlay val="0"/>
          <c:spPr>
            <a:noFill/>
            <a:ln w="0">
              <a:noFill/>
            </a:ln>
          </c:spPr>
        </c:title>
        <c:numFmt formatCode="0.00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5623625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0.xml"/><Relationship Id="rId2" Type="http://schemas.openxmlformats.org/officeDocument/2006/relationships/chart" Target="../charts/chart51.xml"/><Relationship Id="rId3" Type="http://schemas.openxmlformats.org/officeDocument/2006/relationships/chart" Target="../charts/chart5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53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54.xml"/><Relationship Id="rId2" Type="http://schemas.openxmlformats.org/officeDocument/2006/relationships/chart" Target="../charts/chart55.xml"/><Relationship Id="rId3" Type="http://schemas.openxmlformats.org/officeDocument/2006/relationships/chart" Target="../charts/chart56.xml"/><Relationship Id="rId4" Type="http://schemas.openxmlformats.org/officeDocument/2006/relationships/chart" Target="../charts/chart57.xml"/><Relationship Id="rId5" Type="http://schemas.openxmlformats.org/officeDocument/2006/relationships/chart" Target="../charts/chart5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59.xml"/><Relationship Id="rId2" Type="http://schemas.openxmlformats.org/officeDocument/2006/relationships/chart" Target="../charts/chart60.xml"/><Relationship Id="rId3" Type="http://schemas.openxmlformats.org/officeDocument/2006/relationships/chart" Target="../charts/chart61.xml"/><Relationship Id="rId4" Type="http://schemas.openxmlformats.org/officeDocument/2006/relationships/chart" Target="../charts/chart62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63.xml"/><Relationship Id="rId2" Type="http://schemas.openxmlformats.org/officeDocument/2006/relationships/chart" Target="../charts/chart64.xml"/><Relationship Id="rId3" Type="http://schemas.openxmlformats.org/officeDocument/2006/relationships/chart" Target="../charts/chart65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66.xml"/><Relationship Id="rId2" Type="http://schemas.openxmlformats.org/officeDocument/2006/relationships/chart" Target="../charts/chart67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940680</xdr:colOff>
      <xdr:row>10</xdr:row>
      <xdr:rowOff>11520</xdr:rowOff>
    </xdr:from>
    <xdr:to>
      <xdr:col>8</xdr:col>
      <xdr:colOff>664920</xdr:colOff>
      <xdr:row>27</xdr:row>
      <xdr:rowOff>20520</xdr:rowOff>
    </xdr:to>
    <xdr:graphicFrame>
      <xdr:nvGraphicFramePr>
        <xdr:cNvPr id="0" name="Diagramm 6"/>
        <xdr:cNvGraphicFramePr/>
      </xdr:nvGraphicFramePr>
      <xdr:xfrm>
        <a:off x="1784520" y="1916640"/>
        <a:ext cx="6406560" cy="3247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931320</xdr:colOff>
      <xdr:row>31</xdr:row>
      <xdr:rowOff>148680</xdr:rowOff>
    </xdr:from>
    <xdr:to>
      <xdr:col>8</xdr:col>
      <xdr:colOff>675000</xdr:colOff>
      <xdr:row>48</xdr:row>
      <xdr:rowOff>159120</xdr:rowOff>
    </xdr:to>
    <xdr:graphicFrame>
      <xdr:nvGraphicFramePr>
        <xdr:cNvPr id="1" name="Diagramm 7"/>
        <xdr:cNvGraphicFramePr/>
      </xdr:nvGraphicFramePr>
      <xdr:xfrm>
        <a:off x="1775160" y="6054120"/>
        <a:ext cx="6426000" cy="324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36000</xdr:colOff>
      <xdr:row>51</xdr:row>
      <xdr:rowOff>168840</xdr:rowOff>
    </xdr:from>
    <xdr:to>
      <xdr:col>8</xdr:col>
      <xdr:colOff>819720</xdr:colOff>
      <xdr:row>71</xdr:row>
      <xdr:rowOff>105480</xdr:rowOff>
    </xdr:to>
    <xdr:graphicFrame>
      <xdr:nvGraphicFramePr>
        <xdr:cNvPr id="2" name=""/>
        <xdr:cNvGraphicFramePr/>
      </xdr:nvGraphicFramePr>
      <xdr:xfrm>
        <a:off x="1857240" y="9884520"/>
        <a:ext cx="6488640" cy="374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61</xdr:col>
      <xdr:colOff>451800</xdr:colOff>
      <xdr:row>45</xdr:row>
      <xdr:rowOff>84600</xdr:rowOff>
    </xdr:from>
    <xdr:to>
      <xdr:col>68</xdr:col>
      <xdr:colOff>779400</xdr:colOff>
      <xdr:row>65</xdr:row>
      <xdr:rowOff>21240</xdr:rowOff>
    </xdr:to>
    <xdr:graphicFrame>
      <xdr:nvGraphicFramePr>
        <xdr:cNvPr id="3" name=""/>
        <xdr:cNvGraphicFramePr/>
      </xdr:nvGraphicFramePr>
      <xdr:xfrm>
        <a:off x="39204000" y="8657280"/>
        <a:ext cx="6017040" cy="374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372960</xdr:colOff>
      <xdr:row>7</xdr:row>
      <xdr:rowOff>31680</xdr:rowOff>
    </xdr:from>
    <xdr:to>
      <xdr:col>25</xdr:col>
      <xdr:colOff>88920</xdr:colOff>
      <xdr:row>24</xdr:row>
      <xdr:rowOff>40680</xdr:rowOff>
    </xdr:to>
    <xdr:graphicFrame>
      <xdr:nvGraphicFramePr>
        <xdr:cNvPr id="4" name="Diagramm 1"/>
        <xdr:cNvGraphicFramePr/>
      </xdr:nvGraphicFramePr>
      <xdr:xfrm>
        <a:off x="12795480" y="1379880"/>
        <a:ext cx="6193080" cy="3247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306720</xdr:colOff>
      <xdr:row>29</xdr:row>
      <xdr:rowOff>113400</xdr:rowOff>
    </xdr:from>
    <xdr:to>
      <xdr:col>23</xdr:col>
      <xdr:colOff>294840</xdr:colOff>
      <xdr:row>46</xdr:row>
      <xdr:rowOff>123840</xdr:rowOff>
    </xdr:to>
    <xdr:graphicFrame>
      <xdr:nvGraphicFramePr>
        <xdr:cNvPr id="5" name="Diagramm 2"/>
        <xdr:cNvGraphicFramePr/>
      </xdr:nvGraphicFramePr>
      <xdr:xfrm>
        <a:off x="12729240" y="5652360"/>
        <a:ext cx="4845960" cy="324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601920</xdr:colOff>
      <xdr:row>79</xdr:row>
      <xdr:rowOff>133560</xdr:rowOff>
    </xdr:from>
    <xdr:to>
      <xdr:col>25</xdr:col>
      <xdr:colOff>311760</xdr:colOff>
      <xdr:row>96</xdr:row>
      <xdr:rowOff>144000</xdr:rowOff>
    </xdr:to>
    <xdr:graphicFrame>
      <xdr:nvGraphicFramePr>
        <xdr:cNvPr id="6" name="Diagramm 3"/>
        <xdr:cNvGraphicFramePr/>
      </xdr:nvGraphicFramePr>
      <xdr:xfrm>
        <a:off x="13834080" y="15197760"/>
        <a:ext cx="5377320" cy="324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252360</xdr:colOff>
      <xdr:row>67</xdr:row>
      <xdr:rowOff>186840</xdr:rowOff>
    </xdr:from>
    <xdr:to>
      <xdr:col>25</xdr:col>
      <xdr:colOff>646920</xdr:colOff>
      <xdr:row>86</xdr:row>
      <xdr:rowOff>17640</xdr:rowOff>
    </xdr:to>
    <xdr:graphicFrame>
      <xdr:nvGraphicFramePr>
        <xdr:cNvPr id="7" name="Diagramm 4"/>
        <xdr:cNvGraphicFramePr/>
      </xdr:nvGraphicFramePr>
      <xdr:xfrm>
        <a:off x="14294160" y="12965040"/>
        <a:ext cx="5252400" cy="3450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18</xdr:col>
      <xdr:colOff>689400</xdr:colOff>
      <xdr:row>48</xdr:row>
      <xdr:rowOff>181080</xdr:rowOff>
    </xdr:from>
    <xdr:to>
      <xdr:col>24</xdr:col>
      <xdr:colOff>696600</xdr:colOff>
      <xdr:row>66</xdr:row>
      <xdr:rowOff>9720</xdr:rowOff>
    </xdr:to>
    <xdr:graphicFrame>
      <xdr:nvGraphicFramePr>
        <xdr:cNvPr id="8" name="Diagramm 5"/>
        <xdr:cNvGraphicFramePr/>
      </xdr:nvGraphicFramePr>
      <xdr:xfrm>
        <a:off x="13921560" y="9339840"/>
        <a:ext cx="4865040" cy="3257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625680</xdr:colOff>
      <xdr:row>1</xdr:row>
      <xdr:rowOff>180360</xdr:rowOff>
    </xdr:from>
    <xdr:to>
      <xdr:col>18</xdr:col>
      <xdr:colOff>315360</xdr:colOff>
      <xdr:row>18</xdr:row>
      <xdr:rowOff>176400</xdr:rowOff>
    </xdr:to>
    <xdr:graphicFrame>
      <xdr:nvGraphicFramePr>
        <xdr:cNvPr id="9" name="Diagramm 1"/>
        <xdr:cNvGraphicFramePr/>
      </xdr:nvGraphicFramePr>
      <xdr:xfrm>
        <a:off x="9865080" y="370800"/>
        <a:ext cx="5356800" cy="3249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760320</xdr:colOff>
      <xdr:row>20</xdr:row>
      <xdr:rowOff>119160</xdr:rowOff>
    </xdr:from>
    <xdr:to>
      <xdr:col>18</xdr:col>
      <xdr:colOff>352440</xdr:colOff>
      <xdr:row>37</xdr:row>
      <xdr:rowOff>119160</xdr:rowOff>
    </xdr:to>
    <xdr:graphicFrame>
      <xdr:nvGraphicFramePr>
        <xdr:cNvPr id="10" name="Diagramm 2"/>
        <xdr:cNvGraphicFramePr/>
      </xdr:nvGraphicFramePr>
      <xdr:xfrm>
        <a:off x="9999720" y="3943800"/>
        <a:ext cx="525924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303480</xdr:colOff>
      <xdr:row>38</xdr:row>
      <xdr:rowOff>180360</xdr:rowOff>
    </xdr:from>
    <xdr:to>
      <xdr:col>18</xdr:col>
      <xdr:colOff>571680</xdr:colOff>
      <xdr:row>57</xdr:row>
      <xdr:rowOff>77400</xdr:rowOff>
    </xdr:to>
    <xdr:graphicFrame>
      <xdr:nvGraphicFramePr>
        <xdr:cNvPr id="11" name="Diagramm 3"/>
        <xdr:cNvGraphicFramePr/>
      </xdr:nvGraphicFramePr>
      <xdr:xfrm>
        <a:off x="9542880" y="7434000"/>
        <a:ext cx="5935320" cy="3516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448920</xdr:colOff>
      <xdr:row>59</xdr:row>
      <xdr:rowOff>160200</xdr:rowOff>
    </xdr:from>
    <xdr:to>
      <xdr:col>18</xdr:col>
      <xdr:colOff>717480</xdr:colOff>
      <xdr:row>78</xdr:row>
      <xdr:rowOff>56160</xdr:rowOff>
    </xdr:to>
    <xdr:graphicFrame>
      <xdr:nvGraphicFramePr>
        <xdr:cNvPr id="12" name="Diagramm 4"/>
        <xdr:cNvGraphicFramePr/>
      </xdr:nvGraphicFramePr>
      <xdr:xfrm>
        <a:off x="9688320" y="11414160"/>
        <a:ext cx="5935680" cy="3515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343800</xdr:colOff>
      <xdr:row>1</xdr:row>
      <xdr:rowOff>114480</xdr:rowOff>
    </xdr:from>
    <xdr:to>
      <xdr:col>18</xdr:col>
      <xdr:colOff>534240</xdr:colOff>
      <xdr:row>18</xdr:row>
      <xdr:rowOff>110160</xdr:rowOff>
    </xdr:to>
    <xdr:graphicFrame>
      <xdr:nvGraphicFramePr>
        <xdr:cNvPr id="13" name="Diagramm 1"/>
        <xdr:cNvGraphicFramePr/>
      </xdr:nvGraphicFramePr>
      <xdr:xfrm>
        <a:off x="7963920" y="304920"/>
        <a:ext cx="5762520" cy="324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391680</xdr:colOff>
      <xdr:row>21</xdr:row>
      <xdr:rowOff>49320</xdr:rowOff>
    </xdr:from>
    <xdr:to>
      <xdr:col>18</xdr:col>
      <xdr:colOff>203760</xdr:colOff>
      <xdr:row>40</xdr:row>
      <xdr:rowOff>24480</xdr:rowOff>
    </xdr:to>
    <xdr:graphicFrame>
      <xdr:nvGraphicFramePr>
        <xdr:cNvPr id="14" name="Diagramm 2"/>
        <xdr:cNvGraphicFramePr/>
      </xdr:nvGraphicFramePr>
      <xdr:xfrm>
        <a:off x="8011800" y="4064400"/>
        <a:ext cx="5384160" cy="359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307440</xdr:colOff>
      <xdr:row>45</xdr:row>
      <xdr:rowOff>4680</xdr:rowOff>
    </xdr:from>
    <xdr:to>
      <xdr:col>18</xdr:col>
      <xdr:colOff>501120</xdr:colOff>
      <xdr:row>66</xdr:row>
      <xdr:rowOff>22320</xdr:rowOff>
    </xdr:to>
    <xdr:graphicFrame>
      <xdr:nvGraphicFramePr>
        <xdr:cNvPr id="15" name=""/>
        <xdr:cNvGraphicFramePr/>
      </xdr:nvGraphicFramePr>
      <xdr:xfrm>
        <a:off x="7927560" y="8591760"/>
        <a:ext cx="5765760" cy="410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341640</xdr:colOff>
      <xdr:row>1</xdr:row>
      <xdr:rowOff>37440</xdr:rowOff>
    </xdr:from>
    <xdr:to>
      <xdr:col>15</xdr:col>
      <xdr:colOff>29520</xdr:colOff>
      <xdr:row>18</xdr:row>
      <xdr:rowOff>171720</xdr:rowOff>
    </xdr:to>
    <xdr:graphicFrame>
      <xdr:nvGraphicFramePr>
        <xdr:cNvPr id="16" name="Diagramm 1"/>
        <xdr:cNvGraphicFramePr/>
      </xdr:nvGraphicFramePr>
      <xdr:xfrm>
        <a:off x="5218560" y="227880"/>
        <a:ext cx="5002560" cy="337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374040</xdr:colOff>
      <xdr:row>20</xdr:row>
      <xdr:rowOff>177120</xdr:rowOff>
    </xdr:from>
    <xdr:to>
      <xdr:col>15</xdr:col>
      <xdr:colOff>127080</xdr:colOff>
      <xdr:row>37</xdr:row>
      <xdr:rowOff>177120</xdr:rowOff>
    </xdr:to>
    <xdr:graphicFrame>
      <xdr:nvGraphicFramePr>
        <xdr:cNvPr id="17" name="Diagramm 2"/>
        <xdr:cNvGraphicFramePr/>
      </xdr:nvGraphicFramePr>
      <xdr:xfrm>
        <a:off x="5250960" y="3987000"/>
        <a:ext cx="506772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culm" displayName="culm" ref="N3:N98" headerRowCount="1" totalsRowCount="0" totalsRowShown="0">
  <tableColumns count="1">
    <tableColumn id="1" name="Spalte1"/>
  </tableColumns>
</table>
</file>

<file path=xl/tables/table10.xml><?xml version="1.0" encoding="utf-8"?>
<table xmlns="http://schemas.openxmlformats.org/spreadsheetml/2006/main" id="10" name="setUT" displayName="setUT" ref="M2:M99" headerRowCount="0" totalsRowCount="0" totalsRowShown="0">
  <tableColumns count="1">
    <tableColumn id="1" name="Spalte1"/>
  </tableColumns>
</table>
</file>

<file path=xl/tables/table11.xml><?xml version="1.0" encoding="utf-8"?>
<table xmlns="http://schemas.openxmlformats.org/spreadsheetml/2006/main" id="11" name="topo" displayName="topo" ref="BE3:BE98" headerRowCount="1" totalsRowCount="0" totalsRowShown="0">
  <tableColumns count="1">
    <tableColumn id="1" name="Spalte1"/>
  </tableColumns>
</table>
</file>

<file path=xl/tables/table12.xml><?xml version="1.0" encoding="utf-8"?>
<table xmlns="http://schemas.openxmlformats.org/spreadsheetml/2006/main" id="12" name="trans" displayName="trans" ref="P3:P99" headerRowCount="1" totalsRowCount="0" totalsRowShown="0">
  <tableColumns count="1">
    <tableColumn id="1" name="Spalte1"/>
  </tableColumns>
</table>
</file>

<file path=xl/tables/table13.xml><?xml version="1.0" encoding="utf-8"?>
<table xmlns="http://schemas.openxmlformats.org/spreadsheetml/2006/main" id="13" name="transUT" displayName="transUT" ref="Q3:Q99" headerRowCount="1" totalsRowCount="0" totalsRowShown="0">
  <tableColumns count="1">
    <tableColumn id="1" name="Spalte1"/>
  </tableColumns>
</table>
</file>

<file path=xl/tables/table14.xml><?xml version="1.0" encoding="utf-8"?>
<table xmlns="http://schemas.openxmlformats.org/spreadsheetml/2006/main" id="14" name="UT" displayName="UT" ref="A2:A99" headerRowCount="1" totalsRowCount="0" totalsRowShown="0">
  <tableColumns count="1">
    <tableColumn id="1" name="Spalte1"/>
  </tableColumns>
</table>
</file>

<file path=xl/tables/table2.xml><?xml version="1.0" encoding="utf-8"?>
<table xmlns="http://schemas.openxmlformats.org/spreadsheetml/2006/main" id="2" name="culmUT" displayName="culmUT" ref="O3:O98" headerRowCount="1" totalsRowCount="0" totalsRowShown="0">
  <tableColumns count="1">
    <tableColumn id="1" name="Spalte1"/>
  </tableColumns>
</table>
</file>

<file path=xl/tables/table3.xml><?xml version="1.0" encoding="utf-8"?>
<table xmlns="http://schemas.openxmlformats.org/spreadsheetml/2006/main" id="3" name="r_s" displayName="r_s" ref="O103:O106" headerRowCount="1" totalsRowCount="0" totalsRowShown="0">
  <tableColumns count="1">
    <tableColumn id="1" name="Spalte1"/>
  </tableColumns>
</table>
</file>

<file path=xl/tables/table4.xml><?xml version="1.0" encoding="utf-8"?>
<table xmlns="http://schemas.openxmlformats.org/spreadsheetml/2006/main" id="4" name="riseH" displayName="riseH" ref="H2:H99" headerRowCount="0" totalsRowCount="0" totalsRowShown="0">
  <tableColumns count="1">
    <tableColumn id="1" name="Spalte1"/>
  </tableColumns>
</table>
</file>

<file path=xl/tables/table5.xml><?xml version="1.0" encoding="utf-8"?>
<table xmlns="http://schemas.openxmlformats.org/spreadsheetml/2006/main" id="5" name="riseMin" displayName="riseMin" ref="I2:I99" headerRowCount="0" totalsRowCount="0" totalsRowShown="0">
  <tableColumns count="1">
    <tableColumn id="1" name="Spalte1"/>
  </tableColumns>
</table>
</file>

<file path=xl/tables/table6.xml><?xml version="1.0" encoding="utf-8"?>
<table xmlns="http://schemas.openxmlformats.org/spreadsheetml/2006/main" id="6" name="riseUT" displayName="riseUT" ref="L2:L99" headerRowCount="0" totalsRowCount="0" totalsRowShown="0">
  <tableColumns count="1">
    <tableColumn id="1" name="Spalte1"/>
  </tableColumns>
</table>
</file>

<file path=xl/tables/table7.xml><?xml version="1.0" encoding="utf-8"?>
<table xmlns="http://schemas.openxmlformats.org/spreadsheetml/2006/main" id="7" name="rsUT" displayName="rsUT" ref="P103:P106" headerRowCount="1" totalsRowCount="0" totalsRowShown="0">
  <tableColumns count="1">
    <tableColumn id="1" name=""/>
  </tableColumns>
</table>
</file>

<file path=xl/tables/table8.xml><?xml version="1.0" encoding="utf-8"?>
<table xmlns="http://schemas.openxmlformats.org/spreadsheetml/2006/main" id="8" name="setH" displayName="setH" ref="J2:J99" headerRowCount="0" totalsRowCount="0" totalsRowShown="0">
  <tableColumns count="1">
    <tableColumn id="1" name="Spalte1"/>
  </tableColumns>
</table>
</file>

<file path=xl/tables/table9.xml><?xml version="1.0" encoding="utf-8"?>
<table xmlns="http://schemas.openxmlformats.org/spreadsheetml/2006/main" id="9" name="setMin" displayName="setMin" ref="K2:K99" headerRowCount="0" totalsRowCount="0" totalsRowShown="0">
  <tableColumns count="1">
    <tableColumn id="1" name="Spalte1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11.xml"/><Relationship Id="rId3" Type="http://schemas.openxmlformats.org/officeDocument/2006/relationships/table" Target="../tables/table14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table" Target="../tables/table1.xml"/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Relationship Id="rId8" Type="http://schemas.openxmlformats.org/officeDocument/2006/relationships/table" Target="../tables/table7.xml"/><Relationship Id="rId9" Type="http://schemas.openxmlformats.org/officeDocument/2006/relationships/table" Target="../tables/table8.xml"/><Relationship Id="rId10" Type="http://schemas.openxmlformats.org/officeDocument/2006/relationships/table" Target="../tables/table9.xml"/><Relationship Id="rId11" Type="http://schemas.openxmlformats.org/officeDocument/2006/relationships/table" Target="../tables/table10.xml"/><Relationship Id="rId12" Type="http://schemas.openxmlformats.org/officeDocument/2006/relationships/table" Target="../tables/table12.xml"/><Relationship Id="rId13" Type="http://schemas.openxmlformats.org/officeDocument/2006/relationships/table" Target="../tables/table1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77"/>
  <sheetViews>
    <sheetView showFormulas="false" showGridLines="true" showRowColHeaders="true" showZeros="true" rightToLeft="false" tabSelected="true" showOutlineSymbols="true" defaultGridColor="true" view="normal" topLeftCell="A39" colorId="64" zoomScale="100" zoomScaleNormal="100" zoomScalePageLayoutView="100" workbookViewId="0">
      <selection pane="topLeft" activeCell="A18" activeCellId="0" sqref="A18"/>
    </sheetView>
  </sheetViews>
  <sheetFormatPr defaultColWidth="9.625" defaultRowHeight="15" zeroHeight="false" outlineLevelRow="0" outlineLevelCol="0"/>
  <cols>
    <col collapsed="false" customWidth="true" hidden="false" outlineLevel="0" max="1" min="1" style="1" width="9.99"/>
    <col collapsed="false" customWidth="true" hidden="false" outlineLevel="0" max="2" min="2" style="1" width="11.57"/>
    <col collapsed="false" customWidth="true" hidden="false" outlineLevel="0" max="3" min="3" style="1" width="10.49"/>
    <col collapsed="false" customWidth="false" hidden="false" outlineLevel="0" max="4" min="4" style="1" width="9.59"/>
    <col collapsed="false" customWidth="true" hidden="false" outlineLevel="0" max="5" min="5" style="1" width="13.89"/>
    <col collapsed="false" customWidth="true" hidden="false" outlineLevel="0" max="6" min="6" style="1" width="9.99"/>
    <col collapsed="false" customWidth="false" hidden="false" outlineLevel="0" max="7" min="7" style="1" width="9.59"/>
    <col collapsed="false" customWidth="true" hidden="false" outlineLevel="0" max="8" min="8" style="1" width="14.01"/>
    <col collapsed="false" customWidth="true" hidden="false" outlineLevel="0" max="9" min="9" style="1" width="12.43"/>
    <col collapsed="false" customWidth="false" hidden="false" outlineLevel="0" max="64" min="10" style="1" width="9.5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" hidden="false" customHeight="false" outlineLevel="0" collapsed="false">
      <c r="A2" s="3" t="n">
        <v>1</v>
      </c>
      <c r="B2" s="3" t="n">
        <v>12</v>
      </c>
      <c r="C2" s="3" t="n">
        <v>2022</v>
      </c>
      <c r="D2" s="3" t="n">
        <v>50</v>
      </c>
      <c r="E2" s="3" t="n">
        <v>15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customFormat="false" ht="15" hidden="false" customHeight="false" outlineLevel="0" collapsed="false">
      <c r="C3" s="5" t="str">
        <f aca="false">calc!$E$9</f>
        <v>common year</v>
      </c>
    </row>
    <row r="4" customFormat="false" ht="15" hidden="false" customHeight="false" outlineLevel="0" collapsed="false">
      <c r="C4" s="0"/>
    </row>
    <row r="5" customFormat="false" ht="15" hidden="false" customHeight="false" outlineLevel="0" collapsed="false">
      <c r="A5" s="6" t="s">
        <v>5</v>
      </c>
      <c r="B5" s="6"/>
      <c r="D5" s="0"/>
      <c r="E5" s="0"/>
      <c r="F5" s="0"/>
      <c r="G5" s="0"/>
      <c r="H5" s="0"/>
      <c r="I5" s="0"/>
      <c r="J5" s="0"/>
    </row>
    <row r="6" customFormat="false" ht="15" hidden="false" customHeight="false" outlineLevel="0" collapsed="false">
      <c r="A6" s="6" t="s">
        <v>6</v>
      </c>
      <c r="B6" s="6"/>
      <c r="D6" s="0"/>
      <c r="E6" s="0"/>
      <c r="F6" s="0"/>
      <c r="G6" s="0"/>
      <c r="H6" s="0"/>
      <c r="I6" s="0"/>
      <c r="J6" s="0"/>
    </row>
    <row r="7" customFormat="false" ht="15" hidden="false" customHeight="false" outlineLevel="0" collapsed="false">
      <c r="A7" s="7" t="n">
        <v>44855</v>
      </c>
      <c r="B7" s="7"/>
      <c r="C7" s="8" t="s">
        <v>7</v>
      </c>
      <c r="D7" s="8" t="s">
        <v>8</v>
      </c>
      <c r="E7" s="9" t="s">
        <v>9</v>
      </c>
      <c r="F7" s="8" t="s">
        <v>7</v>
      </c>
      <c r="G7" s="8" t="s">
        <v>8</v>
      </c>
      <c r="H7" s="10" t="s">
        <v>9</v>
      </c>
      <c r="I7" s="0"/>
    </row>
    <row r="8" customFormat="false" ht="15" hidden="false" customHeight="false" outlineLevel="0" collapsed="false">
      <c r="B8" s="0"/>
      <c r="C8" s="8" t="str">
        <f aca="false">'elev  az  illum  rise  set'!$L$102</f>
        <v>12:28,4</v>
      </c>
      <c r="D8" s="8" t="str">
        <f aca="false">'elev  az  illum  rise  set'!$M$102</f>
        <v>23:50,2</v>
      </c>
      <c r="E8" s="11" t="n">
        <f aca="false">'elev  az  illum  rise  set'!$M$104</f>
        <v>11.3633333333334</v>
      </c>
      <c r="F8" s="8" t="str">
        <f aca="false">'elev  az  illum  rise  set'!$L$106</f>
        <v>36:43,8</v>
      </c>
      <c r="G8" s="8" t="str">
        <f aca="false">'elev  az  illum  rise  set'!$M$106</f>
        <v>23:50,2</v>
      </c>
      <c r="H8" s="11" t="n">
        <f aca="false">'distance  declin  RA'!$I$26</f>
        <v>10.7884427640183</v>
      </c>
      <c r="I8" s="0"/>
    </row>
    <row r="9" customFormat="false" ht="15" hidden="false" customHeight="false" outlineLevel="0" collapsed="false">
      <c r="A9" s="12" t="s">
        <v>10</v>
      </c>
      <c r="B9" s="12"/>
      <c r="D9" s="0"/>
      <c r="I9" s="0"/>
    </row>
    <row r="10" customFormat="false" ht="15" hidden="false" customHeight="false" outlineLevel="0" collapsed="false">
      <c r="A10" s="13" t="s">
        <v>11</v>
      </c>
      <c r="B10" s="13"/>
      <c r="C10" s="0"/>
    </row>
    <row r="27" customFormat="false" ht="15" hidden="false" customHeight="false" outlineLevel="0" collapsed="false">
      <c r="E27" s="0"/>
      <c r="F27" s="0"/>
      <c r="G27" s="0"/>
      <c r="H27" s="0"/>
    </row>
    <row r="28" customFormat="false" ht="15" hidden="false" customHeight="false" outlineLevel="0" collapsed="false">
      <c r="D28" s="0"/>
      <c r="E28" s="0"/>
      <c r="F28" s="0"/>
      <c r="G28" s="0"/>
      <c r="H28" s="0"/>
    </row>
    <row r="29" customFormat="false" ht="15" hidden="false" customHeight="false" outlineLevel="0" collapsed="false">
      <c r="D29" s="0"/>
      <c r="E29" s="0"/>
      <c r="F29" s="0"/>
      <c r="G29" s="0"/>
      <c r="H29" s="0"/>
    </row>
    <row r="30" customFormat="false" ht="15" hidden="false" customHeight="false" outlineLevel="0" collapsed="false">
      <c r="D30" s="0"/>
      <c r="E30" s="8" t="s">
        <v>12</v>
      </c>
      <c r="F30" s="8" t="s">
        <v>12</v>
      </c>
      <c r="G30" s="14" t="s">
        <v>13</v>
      </c>
      <c r="H30" s="14" t="s">
        <v>13</v>
      </c>
    </row>
    <row r="31" customFormat="false" ht="15" hidden="false" customHeight="false" outlineLevel="0" collapsed="false">
      <c r="E31" s="8" t="str">
        <f aca="false">'elev  az  illum  rise  set'!$N$102</f>
        <v>18:07,4</v>
      </c>
      <c r="F31" s="8" t="str">
        <f aca="false">'elev  az  illum  rise  set'!$O$102</f>
        <v>42:52,1</v>
      </c>
      <c r="G31" s="11" t="str">
        <f aca="false">'elev  az  illum  rise  set'!$P$102</f>
        <v>18:02,1</v>
      </c>
      <c r="H31" s="11" t="str">
        <f aca="false">'elev  az  illum  rise  set'!$Q$102</f>
        <v>42:47,1</v>
      </c>
    </row>
    <row r="52" customFormat="false" ht="15" hidden="false" customHeight="false" outlineLevel="0" collapsed="false">
      <c r="J52" s="0"/>
      <c r="K52" s="0"/>
    </row>
    <row r="53" customFormat="false" ht="15" hidden="false" customHeight="false" outlineLevel="0" collapsed="false">
      <c r="J53" s="0"/>
      <c r="K53" s="0"/>
    </row>
    <row r="54" customFormat="false" ht="15" hidden="false" customHeight="false" outlineLevel="0" collapsed="false">
      <c r="J54" s="0"/>
      <c r="K54" s="0"/>
    </row>
    <row r="55" customFormat="false" ht="15" hidden="false" customHeight="false" outlineLevel="0" collapsed="false">
      <c r="A55" s="6" t="s">
        <v>14</v>
      </c>
      <c r="B55" s="6" t="s">
        <v>15</v>
      </c>
      <c r="J55" s="0"/>
      <c r="K55" s="0"/>
    </row>
    <row r="56" customFormat="false" ht="15" hidden="false" customHeight="false" outlineLevel="0" collapsed="false">
      <c r="A56" s="15" t="s">
        <v>16</v>
      </c>
      <c r="B56" s="15" t="s">
        <v>16</v>
      </c>
      <c r="J56" s="0"/>
      <c r="K56" s="0"/>
    </row>
    <row r="57" customFormat="false" ht="15" hidden="false" customHeight="false" outlineLevel="0" collapsed="false">
      <c r="A57" s="16" t="n">
        <f aca="false">calc!$BG$102-1</f>
        <v>29.5</v>
      </c>
      <c r="B57" s="16" t="e">
        <f aca="false">calc!$BG$101</f>
        <v>#N/A</v>
      </c>
      <c r="J57" s="0"/>
      <c r="K57" s="0"/>
    </row>
    <row r="58" customFormat="false" ht="15" hidden="false" customHeight="false" outlineLevel="0" collapsed="false">
      <c r="A58" s="15" t="s">
        <v>17</v>
      </c>
      <c r="B58" s="15" t="s">
        <v>17</v>
      </c>
      <c r="J58" s="0"/>
      <c r="K58" s="0"/>
    </row>
    <row r="59" customFormat="false" ht="15" hidden="false" customHeight="false" outlineLevel="0" collapsed="false">
      <c r="A59" s="17" t="n">
        <f aca="false">calc!$BE$102</f>
        <v>384910.345462277</v>
      </c>
      <c r="B59" s="17" t="n">
        <f aca="false">calc!$BE$101</f>
        <v>374889.189253582</v>
      </c>
      <c r="J59" s="0"/>
      <c r="K59" s="0"/>
    </row>
    <row r="60" customFormat="false" ht="15" hidden="false" customHeight="false" outlineLevel="0" collapsed="false">
      <c r="A60" s="15" t="s">
        <v>18</v>
      </c>
      <c r="B60" s="18" t="n">
        <f aca="false">A59-B59</f>
        <v>10021.1562086948</v>
      </c>
      <c r="J60" s="0"/>
      <c r="K60" s="0"/>
    </row>
    <row r="61" customFormat="false" ht="15" hidden="false" customHeight="false" outlineLevel="0" collapsed="false">
      <c r="A61" s="6" t="s">
        <v>19</v>
      </c>
      <c r="B61" s="6"/>
      <c r="J61" s="0"/>
      <c r="K61" s="0"/>
    </row>
    <row r="62" customFormat="false" ht="15" hidden="false" customHeight="false" outlineLevel="0" collapsed="false">
      <c r="A62" s="19" t="n">
        <f aca="false">calc!$BE$102</f>
        <v>384910.345462277</v>
      </c>
      <c r="B62" s="20" t="n">
        <f aca="false">calc!$BD$2</f>
        <v>377000.962663731</v>
      </c>
      <c r="J62" s="0"/>
      <c r="K62" s="0"/>
    </row>
    <row r="63" customFormat="false" ht="15" hidden="false" customHeight="false" outlineLevel="0" collapsed="false">
      <c r="B63" s="0"/>
      <c r="J63" s="0"/>
      <c r="K63" s="0"/>
    </row>
    <row r="64" customFormat="false" ht="15" hidden="false" customHeight="false" outlineLevel="0" collapsed="false">
      <c r="B64" s="0"/>
      <c r="J64" s="0"/>
      <c r="K64" s="0"/>
    </row>
    <row r="65" customFormat="false" ht="15" hidden="false" customHeight="false" outlineLevel="0" collapsed="false">
      <c r="J65" s="0"/>
      <c r="K65" s="0"/>
    </row>
    <row r="66" customFormat="false" ht="15" hidden="false" customHeight="false" outlineLevel="0" collapsed="false">
      <c r="J66" s="0"/>
      <c r="K66" s="0"/>
    </row>
    <row r="67" customFormat="false" ht="15" hidden="false" customHeight="false" outlineLevel="0" collapsed="false">
      <c r="J67" s="0"/>
      <c r="K67" s="0"/>
    </row>
    <row r="68" customFormat="false" ht="15" hidden="false" customHeight="false" outlineLevel="0" collapsed="false">
      <c r="J68" s="0"/>
      <c r="K68" s="0"/>
    </row>
    <row r="69" customFormat="false" ht="15" hidden="false" customHeight="false" outlineLevel="0" collapsed="false">
      <c r="J69" s="0"/>
      <c r="K69" s="0"/>
    </row>
    <row r="70" customFormat="false" ht="15" hidden="false" customHeight="false" outlineLevel="0" collapsed="false">
      <c r="J70" s="0"/>
      <c r="K70" s="0"/>
    </row>
    <row r="71" customFormat="false" ht="15" hidden="false" customHeight="false" outlineLevel="0" collapsed="false">
      <c r="J71" s="0"/>
      <c r="K71" s="0"/>
    </row>
    <row r="72" customFormat="false" ht="15" hidden="false" customHeight="false" outlineLevel="0" collapsed="false">
      <c r="J72" s="0"/>
      <c r="K72" s="0"/>
    </row>
    <row r="73" customFormat="false" ht="15" hidden="false" customHeight="false" outlineLevel="0" collapsed="false">
      <c r="J73" s="0"/>
      <c r="K73" s="0"/>
    </row>
    <row r="74" customFormat="false" ht="15" hidden="false" customHeight="false" outlineLevel="0" collapsed="false">
      <c r="J74" s="0"/>
      <c r="K74" s="0"/>
    </row>
    <row r="75" customFormat="false" ht="15" hidden="false" customHeight="false" outlineLevel="0" collapsed="false">
      <c r="J75" s="0"/>
      <c r="K75" s="0"/>
    </row>
    <row r="76" customFormat="false" ht="15" hidden="false" customHeight="false" outlineLevel="0" collapsed="false">
      <c r="J76" s="0"/>
      <c r="K76" s="0"/>
    </row>
    <row r="77" customFormat="false" ht="15" hidden="false" customHeight="false" outlineLevel="0" collapsed="false">
      <c r="J77" s="0"/>
      <c r="K77" s="0"/>
    </row>
  </sheetData>
  <mergeCells count="6">
    <mergeCell ref="A5:B5"/>
    <mergeCell ref="A6:B6"/>
    <mergeCell ref="A7:B7"/>
    <mergeCell ref="A9:B9"/>
    <mergeCell ref="A10:B10"/>
    <mergeCell ref="A61:B61"/>
  </mergeCells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102"/>
  <sheetViews>
    <sheetView showFormulas="false" showGridLines="true" showRowColHeaders="true" showZeros="true" rightToLeft="false" tabSelected="false" showOutlineSymbols="true" defaultGridColor="true" view="normal" topLeftCell="AQ87" colorId="64" zoomScale="100" zoomScaleNormal="100" zoomScalePageLayoutView="100" workbookViewId="0">
      <selection pane="topLeft" activeCell="BE102" activeCellId="0" sqref="BE102"/>
    </sheetView>
  </sheetViews>
  <sheetFormatPr defaultColWidth="9.625" defaultRowHeight="15" zeroHeight="false" outlineLevelRow="0" outlineLevelCol="0"/>
  <cols>
    <col collapsed="false" customWidth="true" hidden="false" outlineLevel="0" max="1" min="1" style="21" width="5.64"/>
    <col collapsed="false" customWidth="true" hidden="false" outlineLevel="0" max="2" min="2" style="22" width="5.75"/>
    <col collapsed="false" customWidth="true" hidden="false" outlineLevel="0" max="3" min="3" style="23" width="6.09"/>
    <col collapsed="false" customWidth="true" hidden="false" outlineLevel="0" max="4" min="4" style="23" width="4.85"/>
    <col collapsed="false" customWidth="true" hidden="false" outlineLevel="0" max="5" min="5" style="23" width="12.52"/>
    <col collapsed="false" customWidth="true" hidden="false" outlineLevel="0" max="6" min="6" style="24" width="7.22"/>
    <col collapsed="false" customWidth="true" hidden="false" outlineLevel="0" max="7" min="7" style="25" width="9.81"/>
    <col collapsed="false" customWidth="true" hidden="false" outlineLevel="0" max="8" min="8" style="25" width="8.8"/>
    <col collapsed="false" customWidth="true" hidden="false" outlineLevel="0" max="9" min="9" style="26" width="8.9"/>
    <col collapsed="false" customWidth="true" hidden="false" outlineLevel="0" max="10" min="10" style="21" width="11.39"/>
    <col collapsed="false" customWidth="true" hidden="false" outlineLevel="0" max="11" min="11" style="27" width="9.7"/>
    <col collapsed="false" customWidth="true" hidden="false" outlineLevel="0" max="12" min="12" style="21" width="6.77"/>
    <col collapsed="false" customWidth="true" hidden="false" outlineLevel="0" max="13" min="13" style="28" width="8.23"/>
    <col collapsed="false" customWidth="false" hidden="false" outlineLevel="0" max="14" min="14" style="21" width="9.59"/>
    <col collapsed="false" customWidth="true" hidden="false" outlineLevel="0" max="15" min="15" style="29" width="7.11"/>
    <col collapsed="false" customWidth="true" hidden="false" outlineLevel="0" max="16" min="16" style="29" width="5.64"/>
    <col collapsed="false" customWidth="true" hidden="false" outlineLevel="0" max="18" min="17" style="29" width="5.75"/>
    <col collapsed="false" customWidth="true" hidden="false" outlineLevel="0" max="19" min="19" style="29" width="5.64"/>
    <col collapsed="false" customWidth="true" hidden="false" outlineLevel="0" max="20" min="20" style="30" width="6.88"/>
    <col collapsed="false" customWidth="true" hidden="false" outlineLevel="0" max="21" min="21" style="24" width="7.11"/>
    <col collapsed="false" customWidth="true" hidden="false" outlineLevel="0" max="22" min="22" style="30" width="7.44"/>
    <col collapsed="false" customWidth="true" hidden="false" outlineLevel="0" max="23" min="23" style="31" width="7.89"/>
    <col collapsed="false" customWidth="true" hidden="false" outlineLevel="0" max="24" min="24" style="30" width="6.99"/>
    <col collapsed="false" customWidth="true" hidden="false" outlineLevel="0" max="25" min="25" style="30" width="5.52"/>
    <col collapsed="false" customWidth="true" hidden="false" outlineLevel="0" max="26" min="26" style="30" width="6.2"/>
    <col collapsed="false" customWidth="true" hidden="false" outlineLevel="0" max="27" min="27" style="30" width="6.54"/>
    <col collapsed="false" customWidth="true" hidden="false" outlineLevel="0" max="28" min="28" style="30" width="6.09"/>
    <col collapsed="false" customWidth="true" hidden="false" outlineLevel="0" max="29" min="29" style="30" width="6.2"/>
    <col collapsed="false" customWidth="true" hidden="false" outlineLevel="0" max="30" min="30" style="30" width="6.43"/>
    <col collapsed="false" customWidth="true" hidden="false" outlineLevel="0" max="31" min="31" style="21" width="5.98"/>
    <col collapsed="false" customWidth="true" hidden="false" outlineLevel="0" max="32" min="32" style="32" width="6.2"/>
    <col collapsed="false" customWidth="true" hidden="false" outlineLevel="0" max="33" min="33" style="31" width="6.88"/>
    <col collapsed="false" customWidth="true" hidden="false" outlineLevel="0" max="34" min="34" style="29" width="10.6"/>
    <col collapsed="false" customWidth="true" hidden="false" outlineLevel="0" max="35" min="35" style="30" width="7.33"/>
    <col collapsed="false" customWidth="true" hidden="false" outlineLevel="0" max="36" min="36" style="29" width="5.98"/>
    <col collapsed="false" customWidth="true" hidden="false" outlineLevel="0" max="37" min="37" style="30" width="9.25"/>
    <col collapsed="false" customWidth="true" hidden="false" outlineLevel="0" max="38" min="38" style="31" width="7.22"/>
    <col collapsed="false" customWidth="true" hidden="false" outlineLevel="0" max="39" min="39" style="23" width="7.89"/>
    <col collapsed="false" customWidth="true" hidden="false" outlineLevel="0" max="40" min="40" style="29" width="7.78"/>
    <col collapsed="false" customWidth="true" hidden="false" outlineLevel="0" max="41" min="41" style="33" width="6.54"/>
    <col collapsed="false" customWidth="true" hidden="false" outlineLevel="0" max="42" min="42" style="34" width="4.74"/>
    <col collapsed="false" customWidth="true" hidden="false" outlineLevel="0" max="43" min="43" style="34" width="5.3"/>
    <col collapsed="false" customWidth="true" hidden="false" outlineLevel="0" max="44" min="44" style="34" width="10.04"/>
    <col collapsed="false" customWidth="true" hidden="false" outlineLevel="0" max="45" min="45" style="20" width="9.02"/>
    <col collapsed="false" customWidth="true" hidden="false" outlineLevel="0" max="46" min="46" style="31" width="7.31"/>
    <col collapsed="false" customWidth="true" hidden="false" outlineLevel="0" max="47" min="47" style="30" width="7.8"/>
    <col collapsed="false" customWidth="true" hidden="false" outlineLevel="0" max="48" min="48" style="30" width="8.04"/>
    <col collapsed="false" customWidth="true" hidden="false" outlineLevel="0" max="49" min="49" style="30" width="7.8"/>
    <col collapsed="false" customWidth="true" hidden="false" outlineLevel="0" max="50" min="50" style="28" width="8.41"/>
    <col collapsed="false" customWidth="true" hidden="false" outlineLevel="0" max="51" min="51" style="31" width="8.16"/>
    <col collapsed="false" customWidth="true" hidden="false" outlineLevel="0" max="54" min="52" style="29" width="7.68"/>
    <col collapsed="false" customWidth="true" hidden="false" outlineLevel="0" max="55" min="55" style="35" width="8.64"/>
    <col collapsed="false" customWidth="true" hidden="false" outlineLevel="0" max="56" min="56" style="20" width="9.38"/>
    <col collapsed="false" customWidth="true" hidden="false" outlineLevel="0" max="57" min="57" style="30" width="8.04"/>
    <col collapsed="false" customWidth="true" hidden="false" outlineLevel="0" max="58" min="58" style="23" width="7.31"/>
    <col collapsed="false" customWidth="true" hidden="false" outlineLevel="0" max="59" min="59" style="23" width="6.58"/>
    <col collapsed="false" customWidth="false" hidden="false" outlineLevel="0" max="61" min="60" style="23" width="9.59"/>
  </cols>
  <sheetData>
    <row r="1" customFormat="false" ht="15" hidden="false" customHeight="false" outlineLevel="0" collapsed="false">
      <c r="A1" s="36" t="s">
        <v>20</v>
      </c>
      <c r="B1" s="37" t="s">
        <v>21</v>
      </c>
      <c r="C1" s="37" t="s">
        <v>22</v>
      </c>
      <c r="D1" s="37" t="s">
        <v>23</v>
      </c>
      <c r="E1" s="37" t="s">
        <v>3</v>
      </c>
      <c r="F1" s="38" t="s">
        <v>24</v>
      </c>
      <c r="G1" s="39" t="s">
        <v>25</v>
      </c>
      <c r="H1" s="39" t="s">
        <v>26</v>
      </c>
      <c r="I1" s="38" t="s">
        <v>27</v>
      </c>
      <c r="J1" s="36" t="s">
        <v>28</v>
      </c>
      <c r="K1" s="40" t="s">
        <v>29</v>
      </c>
      <c r="L1" s="36" t="s">
        <v>30</v>
      </c>
      <c r="M1" s="41" t="s">
        <v>31</v>
      </c>
      <c r="N1" s="36" t="s">
        <v>32</v>
      </c>
      <c r="O1" s="42" t="s">
        <v>33</v>
      </c>
      <c r="P1" s="42" t="s">
        <v>34</v>
      </c>
      <c r="Q1" s="28" t="s">
        <v>35</v>
      </c>
      <c r="R1" s="29" t="s">
        <v>36</v>
      </c>
      <c r="S1" s="29" t="s">
        <v>37</v>
      </c>
      <c r="T1" s="30" t="s">
        <v>38</v>
      </c>
      <c r="U1" s="24" t="s">
        <v>39</v>
      </c>
      <c r="V1" s="43" t="s">
        <v>40</v>
      </c>
      <c r="W1" s="36" t="s">
        <v>41</v>
      </c>
      <c r="X1" s="43" t="s">
        <v>42</v>
      </c>
      <c r="Y1" s="30" t="s">
        <v>43</v>
      </c>
      <c r="Z1" s="30" t="s">
        <v>44</v>
      </c>
      <c r="AA1" s="30" t="s">
        <v>45</v>
      </c>
      <c r="AB1" s="30" t="s">
        <v>46</v>
      </c>
      <c r="AC1" s="30" t="s">
        <v>47</v>
      </c>
      <c r="AD1" s="30" t="s">
        <v>48</v>
      </c>
      <c r="AE1" s="36" t="s">
        <v>49</v>
      </c>
      <c r="AF1" s="44" t="s">
        <v>50</v>
      </c>
      <c r="AG1" s="36" t="s">
        <v>51</v>
      </c>
      <c r="AH1" s="42" t="s">
        <v>52</v>
      </c>
      <c r="AI1" s="43" t="s">
        <v>53</v>
      </c>
      <c r="AJ1" s="42" t="s">
        <v>54</v>
      </c>
      <c r="AK1" s="43" t="s">
        <v>55</v>
      </c>
      <c r="AL1" s="36" t="s">
        <v>56</v>
      </c>
      <c r="AM1" s="42" t="s">
        <v>57</v>
      </c>
      <c r="AN1" s="42" t="s">
        <v>58</v>
      </c>
      <c r="AO1" s="24" t="s">
        <v>59</v>
      </c>
      <c r="AP1" s="18" t="n">
        <v>1</v>
      </c>
      <c r="AQ1" s="18" t="n">
        <v>2</v>
      </c>
      <c r="AR1" s="34" t="s">
        <v>60</v>
      </c>
      <c r="AS1" s="20" t="s">
        <v>61</v>
      </c>
      <c r="AT1" s="31" t="s">
        <v>62</v>
      </c>
      <c r="AU1" s="30" t="s">
        <v>63</v>
      </c>
      <c r="AV1" s="30" t="s">
        <v>64</v>
      </c>
      <c r="AW1" s="30" t="s">
        <v>65</v>
      </c>
      <c r="AX1" s="28" t="s">
        <v>66</v>
      </c>
      <c r="AY1" s="31" t="s">
        <v>38</v>
      </c>
      <c r="AZ1" s="29" t="s">
        <v>67</v>
      </c>
      <c r="BA1" s="29" t="s">
        <v>68</v>
      </c>
      <c r="BB1" s="29" t="s">
        <v>69</v>
      </c>
      <c r="BC1" s="45" t="s">
        <v>70</v>
      </c>
      <c r="BD1" s="20" t="s">
        <v>71</v>
      </c>
      <c r="BE1" s="43"/>
      <c r="BF1" s="43"/>
      <c r="BG1" s="43"/>
      <c r="BH1" s="43"/>
      <c r="BI1" s="43"/>
    </row>
    <row r="2" customFormat="false" ht="15" hidden="false" customHeight="false" outlineLevel="0" collapsed="false">
      <c r="A2" s="31" t="n">
        <v>0</v>
      </c>
      <c r="B2" s="46" t="n">
        <f aca="false">input!$A$2</f>
        <v>1</v>
      </c>
      <c r="C2" s="46" t="n">
        <f aca="false">input!$B$2</f>
        <v>12</v>
      </c>
      <c r="D2" s="46" t="n">
        <f aca="false">input!$C$2</f>
        <v>2022</v>
      </c>
      <c r="E2" s="46" t="n">
        <f aca="false">input!$D$2</f>
        <v>50</v>
      </c>
      <c r="F2" s="38" t="n">
        <f aca="false">AK2</f>
        <v>-14.1530028178672</v>
      </c>
      <c r="G2" s="39" t="n">
        <f aca="false">F2+1.02/(TAN($E$6*(F2+10.3/(F2+5.11)))*60)</f>
        <v>-14.2151784378867</v>
      </c>
      <c r="H2" s="38" t="n">
        <f aca="false">100*(1+COS($E$6*AO2))/2</f>
        <v>54.4736968110266</v>
      </c>
      <c r="I2" s="38" t="n">
        <f aca="false">IF(AG2&gt;180, AR2-180,AR2+180)</f>
        <v>269.266688654779</v>
      </c>
      <c r="J2" s="31" t="n">
        <f aca="false">INT(365.25*IF(C2&gt;2,D2+4716,D2-1+4716))+INT(30.6001*IF(C2&gt;2,C2+1,C2+12+1))+B2+A2/24+2-INT(IF(C2&gt;2,D2,D2-1)/100)+INT(INT(IF(C2&gt;2,D2,D2-1)/100)/4)-1524.5</f>
        <v>2459914.5</v>
      </c>
      <c r="K2" s="47" t="n">
        <f aca="false">(J2-2451545)/36525</f>
        <v>0.229144421629021</v>
      </c>
      <c r="L2" s="31" t="n">
        <f aca="false">MOD(280.46061837+360.98564736629*(J2-2451545)+0.000387933*K2^2-K2^3/38710000+$E$4,360)</f>
        <v>84.8362709032372</v>
      </c>
      <c r="M2" s="28" t="n">
        <f aca="false">0.606433+1336.855225*K2 - INT(0.606433+1336.855225*K2)</f>
        <v>0.939350334360029</v>
      </c>
      <c r="N2" s="31" t="n">
        <f aca="false">22640*SIN(O2)-4586*SIN(O2-2*Q2)+2370*SIN(2*Q2)+769*SIN(2*O2)-668*SIN(P2)-412*SIN(2*R2)-212*SIN(2*O2-2*Q2)-206*SIN(O2+P2-2*Q2)+192*SIN(O2+2*Q2)-165*SIN(P2-2*Q2)-125*SIN(Q2)-110*SIN(O2+P2)+148*SIN(O2-P2)-55*SIN(2*R2-2*Q2)</f>
        <v>20166.9249802756</v>
      </c>
      <c r="O2" s="29" t="n">
        <f aca="false">2*PI()*(0.374897+1325.55241*K2 - INT(0.374897+1325.55241*K2))</f>
        <v>0.740393770472768</v>
      </c>
      <c r="P2" s="32" t="n">
        <f aca="false">2*PI()*(0.993133+99.997361*K2 - INT(0.993133+99.997361*K2))</f>
        <v>5.69866341034574</v>
      </c>
      <c r="Q2" s="32" t="n">
        <f aca="false">2*PI()*(0.827361+1236.853086*K2 - INT(0.827361+1236.853086*K2))</f>
        <v>1.54155458054736</v>
      </c>
      <c r="R2" s="32" t="n">
        <f aca="false">2*PI()*(0.259086+1342.227825*K2 - INT(0.259086+1342.227825*K2))</f>
        <v>5.17171906830977</v>
      </c>
      <c r="S2" s="32" t="n">
        <f aca="false">R2+(N2+412*SIN(2*R2)+541*SIN(P2))/206264.8062</f>
        <v>5.26645625588596</v>
      </c>
      <c r="T2" s="32" t="n">
        <f aca="false">R2-2*Q2</f>
        <v>2.08860990721505</v>
      </c>
      <c r="U2" s="24" t="n">
        <f aca="false">-526*SIN(T2)+44*SIN(O2+T2)-31*SIN(-O2+T2)-23*SIN(P2+T2)+11*SIN(-P2+T2)-25*SIN(-2*O2+R2)+21*SIN(-O2+R2)</f>
        <v>-498.852570455563</v>
      </c>
      <c r="V2" s="45" t="n">
        <f aca="false">2*PI()*(M2+N2/1296000-INT(M2+N2/1296000))</f>
        <v>5.99988423050864</v>
      </c>
      <c r="W2" s="31" t="n">
        <f aca="false">V2/$E$6</f>
        <v>343.768043975242</v>
      </c>
      <c r="X2" s="45" t="n">
        <f aca="false">(18520*SIN(S2)+U2)/206264.8062</f>
        <v>-0.0787730327072318</v>
      </c>
      <c r="Y2" s="32" t="n">
        <f aca="false">COS(X2)*COS(V2)</f>
        <v>0.957160553028512</v>
      </c>
      <c r="Z2" s="32" t="n">
        <f aca="false">COS(X2)*SIN(V2)</f>
        <v>-0.278659845020978</v>
      </c>
      <c r="AA2" s="32" t="n">
        <f aca="false">SIN(X2)</f>
        <v>-0.0786915910313052</v>
      </c>
      <c r="AB2" s="32" t="n">
        <f aca="false">COS($E$6*(23.4393-46.815*K2/3600))*Z2-SIN($E$6*(23.4393-46.815*K2/3600))*AA2</f>
        <v>-0.224373182911174</v>
      </c>
      <c r="AC2" s="32" t="n">
        <f aca="false">SIN($E$6*(23.4393-46.815*K2/3600))*Z2+COS($E$6*(23.4393-46.815*K2/3600))*AA2</f>
        <v>-0.183031009712733</v>
      </c>
      <c r="AD2" s="32" t="n">
        <f aca="false">SQRT(1-AC2*AC2)</f>
        <v>0.983107140388848</v>
      </c>
      <c r="AE2" s="31" t="n">
        <f aca="false">ATAN(AC2/AD2)/$E$6</f>
        <v>-10.54635757293</v>
      </c>
      <c r="AF2" s="32" t="n">
        <f aca="false">IF(24*ATAN(AB2/(Y2+AD2))/PI()&gt;0,24*ATAN(AB2/(Y2+AD2))/PI(),24*ATAN(AB2/(Y2+AD2))/PI()+24)</f>
        <v>23.1204796385858</v>
      </c>
      <c r="AG2" s="31" t="n">
        <f aca="false">IF(L2-15*AF2&gt;0,L2-15*AF2,360+L2-15*AF2)</f>
        <v>98.0290763244495</v>
      </c>
      <c r="AH2" s="28" t="n">
        <f aca="false">0.950724+0.051818*COS(O2)+0.009531*COS(2*Q2-O2)+0.007843*COS(2*Q2)+0.002824*COS(2*O2)+0.000857*COS(2*Q2+O2)+0.000533*COS(2*Q2-P2)*(1-0.002495*(J2-2415020)/36525)+0.000401*COS(2*Q2-P2-O2)*(1-0.002495*(J2-2415020)/36525)+0.00032*COS(O2-P2)*(1-0.002495*(J2-2415020)/36525)-0.000271*COS(Q2)</f>
        <v>0.973306701817155</v>
      </c>
      <c r="AI2" s="32" t="n">
        <f aca="false">ASIN(COS($E$6*$E$2)*COS($E$6*AE2)*COS($E$6*AG2)+SIN($E$6*$E$2)*SIN($E$6*AE2))/$E$6</f>
        <v>-13.2073038470781</v>
      </c>
      <c r="AJ2" s="29" t="n">
        <f aca="false">ASIN((0.9983271+0.0016764*COS($E$6*2*$E$2))*COS($E$6*AI2)*SIN($E$6*AH2))/$E$6</f>
        <v>0.945698970789124</v>
      </c>
      <c r="AK2" s="29" t="n">
        <f aca="false">AI2-AJ2</f>
        <v>-14.1530028178672</v>
      </c>
      <c r="AL2" s="31" t="n">
        <f aca="false"> MOD(280.4664567 + 360007.6982779*K2/10 + 0.03032028*K2^2/100 + K2^3/49931000,360)</f>
        <v>249.842053009017</v>
      </c>
      <c r="AM2" s="29" t="n">
        <f aca="false"> AL2 + (1.9146 - 0.004817*K2 - 0.000014*K2^2)*SIN(P2)+ (0.019993 - 0.000101*K2)*SIN(2*P2)+ 0.00029*SIN(3*P2)</f>
        <v>248.767519861175</v>
      </c>
      <c r="AN2" s="29" t="n">
        <f aca="false">ACOS(COS(V2-$E$6*AM2)*COS(X2))/$E$6</f>
        <v>94.9849782248164</v>
      </c>
      <c r="AO2" s="24" t="n">
        <f aca="false">180 - AN2 -0.1468*(1-0.0549*SIN(P2))*SIN($E$6*AN2)/(1-0.0167*SIN($E$6*AM2))</f>
        <v>84.8666562412538</v>
      </c>
      <c r="AP2" s="48" t="n">
        <f aca="false">SIN($E$6*AG2)</f>
        <v>0.990197314000292</v>
      </c>
      <c r="AQ2" s="48" t="n">
        <f aca="false">COS($E$6*AG2)*SIN($E$6*$E$2) - TAN($E$6*AE2)*COS($E$6*$E$2)</f>
        <v>0.0126739278364892</v>
      </c>
      <c r="AR2" s="48" t="n">
        <f aca="false">IF(OR(AND(AP2*AQ2&gt;0), AND(AP2&lt;0,AQ2&gt;0)), MOD(ATAN2(AQ2,AP2)/$E$6+360,360),  ATAN2(AQ2,AP2)/$E$6)</f>
        <v>89.2666886547792</v>
      </c>
      <c r="AS2" s="20" t="n">
        <f aca="false"> 385000.56 + (-20905355*COS(O2) - 3699111*COS(2*Q2-O2) - 2955968*COS(2*Q2) - 569925*COS(2*O2) + (1-0.002516*K2)*48888*COS(P2) - 3149*COS(2*R2)  +246158*COS(2*Q2-2*O2) -(1-0.002516*K2)*152138*COS(2*Q2-P2-O2) -170733*COS(2*Q2+O2) -(1-0.002516*K2)*204586*COS(2*Q2-P2) -(1-0.002516*K2)*129620*COS(P2-O2)  + 108743*COS(Q2) +(1-0.002516*K2)*104755*COS(P2+O2) +10321*COS(2*Q2-2*R2) +79661*COS(O2-2*R2) -34782*COS(4*Q2-O2) -23210*COS(3*O2)  -21636*COS(4*Q2-2*O2) +(1-0.002516*K2)*24208*COS(2*Q2+P2-O2) +(1-0.002516*K2)*30824*COS(2*Q2+P2) -8379*COS(Q2-O2) -(1-0.002516*K2)*16675*COS(Q2+P2)  -(1-0.002516*K2)*12831*COS(2*Q2-P2+O2) -10445*COS(2*Q2+2*O2) -11650*COS(4*Q2) +14403*COS(2*Q2-3*O2) -(1-0.002516*K2)*7003*COS(P2-2*O2)  + (1-0.002516*K2)*10056*COS(2*Q2-P2-2*O2) +6322*COS(Q2+O2) -(1-0.002516*K2)*(1-0.002516*K2)*9884*COS(2*Q2-2*P2) +(1-0.002516*K2)*5751*COS(P2+2*O2) -(1-0.002516*K2)*(1-0.002516*K2)*4950*COS(2*Q2-2*P2-O2)  +4130*COS(2*Q2+O2-2*R2) -(1-0.002516*K2)*3958*COS(4*Q2-P2-O2) +3258*COS(3*Q2-O2) +(1-0.002516*K2)*2616*COS(2*Q2+P2+O2) -(1-0.002516*K2)*1897*COS(4*Q2-P2-2*O2)  -(1-0.002516*K2)*(1-0.002516*K2)*2117*COS(2*P2-O2) +(1-0.002516*K2)*(1-0.002516*K2)*2354*COS(2*Q2+2*P2-O2) -1423*COS(4*Q2+O2) -1117*COS(4*O2) -(1-0.002516*K2)*1571*COS(4*Q2-P2)  -1739*COS(Q2-2*O2) -4421*COS(2*O2-2*R2) +(1-0.002516*K2)*(1-0.002516*K2)*1165*COS(2*P2+O2) +8752*COS(2*Q2-O2-2*R2))/1000</f>
        <v>375495.904139444</v>
      </c>
      <c r="AT2" s="24" t="n">
        <f aca="false">60*ATAN(3476/AS2)/$E$6</f>
        <v>31.8226279581719</v>
      </c>
      <c r="AU2" s="28" t="n">
        <f aca="false">ATAN(0.99664719*TAN($E$6*input!$D$2))</f>
        <v>0.871010436227447</v>
      </c>
      <c r="AV2" s="28" t="n">
        <f aca="false">COS(AU2)</f>
        <v>0.644053912545846</v>
      </c>
      <c r="AW2" s="28" t="n">
        <f aca="false">0.99664719*SIN(AU2)</f>
        <v>0.762415269897027</v>
      </c>
      <c r="AX2" s="28" t="n">
        <f aca="false">6378.14/AS2</f>
        <v>0.0169859109771579</v>
      </c>
      <c r="AY2" s="31" t="n">
        <f aca="false">L2-15*AF2</f>
        <v>-261.970923675551</v>
      </c>
      <c r="AZ2" s="29" t="n">
        <f aca="false">COS($E$6*AE2)*SIN($E$6*AY2)</f>
        <v>0.973470049787545</v>
      </c>
      <c r="BA2" s="29" t="n">
        <f aca="false">COS($E$6*AE2)*COS($E$6*AY2)-AV2*AX2</f>
        <v>-0.148255943628102</v>
      </c>
      <c r="BB2" s="29" t="n">
        <f aca="false">SIN($E$6*AE2)-AW2*AX2</f>
        <v>-0.19598132761483</v>
      </c>
      <c r="BC2" s="45" t="n">
        <f aca="false">SQRT(AZ2^2+BA2^2+BB2^2)</f>
        <v>1.00400818892482</v>
      </c>
      <c r="BD2" s="20" t="n">
        <f aca="false">AS2*BC2</f>
        <v>377000.962663731</v>
      </c>
      <c r="BE2" s="37"/>
      <c r="BF2" s="37"/>
      <c r="BG2" s="37"/>
      <c r="BH2" s="37"/>
      <c r="BI2" s="37"/>
    </row>
    <row r="3" customFormat="false" ht="15" hidden="false" customHeight="false" outlineLevel="0" collapsed="false">
      <c r="A3" s="31" t="n">
        <v>0.5</v>
      </c>
      <c r="B3" s="30" t="n">
        <f aca="false">$B$2</f>
        <v>1</v>
      </c>
      <c r="C3" s="30" t="n">
        <f aca="false">C2</f>
        <v>12</v>
      </c>
      <c r="D3" s="30" t="n">
        <f aca="false">$D$2</f>
        <v>2022</v>
      </c>
      <c r="E3" s="37" t="s">
        <v>4</v>
      </c>
      <c r="F3" s="38" t="n">
        <f aca="false">AK3</f>
        <v>-18.6990944049004</v>
      </c>
      <c r="G3" s="39" t="n">
        <f aca="false">F3+1.02/(TAN($E$6*(F3+10.3/(F3+5.11)))*60)</f>
        <v>-18.7472155193705</v>
      </c>
      <c r="H3" s="38" t="n">
        <f aca="false">100*(1+COS($E$6*AO3))/2</f>
        <v>54.7036881865528</v>
      </c>
      <c r="I3" s="38" t="n">
        <f aca="false">IF(AG3&gt;180, AR3-180,AR3+180)</f>
        <v>274.961037934045</v>
      </c>
      <c r="J3" s="31" t="n">
        <f aca="false">INT(365.25*IF(C3&gt;2,D3+4716,D3-1+4716))+INT(30.6001*IF(C3&gt;2,C3+1,C3+12+1))+B3+A3/24+2-INT(IF(C3&gt;2,D3,D3-1)/100)+INT(INT(IF(C3&gt;2,D3,D3-1)/100)/4)-1524.5</f>
        <v>2459914.52083333</v>
      </c>
      <c r="K3" s="47" t="n">
        <f aca="false">(J3-2451545)/36525</f>
        <v>0.229144992014606</v>
      </c>
      <c r="L3" s="31" t="n">
        <f aca="false">MOD(280.46061837+360.98564736629*(J3-2451545)+0.000387933*K3^2-K3^3/38710000+$E$4,360)</f>
        <v>92.3568052793853</v>
      </c>
      <c r="M3" s="28" t="n">
        <f aca="false">0.606433+1336.855225*K3 - INT(0.606433+1336.855225*K3)</f>
        <v>0.94011285730943</v>
      </c>
      <c r="N3" s="31" t="n">
        <f aca="false">22640*SIN(O3)-4586*SIN(O3-2*Q3)+2370*SIN(2*Q3)+769*SIN(2*O3)-668*SIN(P3)-412*SIN(2*R3)-212*SIN(2*O3-2*Q3)-206*SIN(O3+P3-2*Q3)+192*SIN(O3+2*Q3)-165*SIN(P3-2*Q3)-125*SIN(Q3)-110*SIN(O3+P3)+148*SIN(O3-P3)-55*SIN(2*R3-2*Q3)</f>
        <v>20210.3729302362</v>
      </c>
      <c r="O3" s="29" t="n">
        <f aca="false">2*PI()*(0.374897+1325.55241*K3 - INT(0.374897+1325.55241*K3))</f>
        <v>0.745144336003248</v>
      </c>
      <c r="P3" s="32" t="n">
        <f aca="false">2*PI()*(0.993133+99.997361*K3 - INT(0.993133+99.997361*K3))</f>
        <v>5.69902178472064</v>
      </c>
      <c r="Q3" s="32" t="n">
        <f aca="false">2*PI()*(0.827361+1236.853086*K3 - INT(0.827361+1236.853086*K3))</f>
        <v>1.54598726204098</v>
      </c>
      <c r="R3" s="32" t="n">
        <f aca="false">2*PI()*(0.259086+1342.227825*K3 - INT(0.259086+1342.227825*K3))</f>
        <v>5.17652939583172</v>
      </c>
      <c r="S3" s="32" t="n">
        <f aca="false">R3+(N3+412*SIN(2*R3)+541*SIN(P3))/206264.8062</f>
        <v>5.27146642037608</v>
      </c>
      <c r="T3" s="32" t="n">
        <f aca="false">R3-2*Q3</f>
        <v>2.08455487174976</v>
      </c>
      <c r="U3" s="24" t="n">
        <f aca="false">-526*SIN(T3)+44*SIN(O3+T3)-31*SIN(-O3+T3)-23*SIN(P3+T3)+11*SIN(-P3+T3)-25*SIN(-2*O3+R3)+21*SIN(-O3+R3)</f>
        <v>-499.923688601077</v>
      </c>
      <c r="V3" s="32" t="n">
        <f aca="false">2*PI()*(M3+N3/1296000-INT(M3+N3/1296000))</f>
        <v>6.00488594510627</v>
      </c>
      <c r="W3" s="31" t="n">
        <f aca="false">V3/$E$6</f>
        <v>344.054621112016</v>
      </c>
      <c r="X3" s="32" t="n">
        <f aca="false">(18520*SIN(S3)+U3)/206264.8062</f>
        <v>-0.0785405795171895</v>
      </c>
      <c r="Y3" s="32" t="n">
        <f aca="false">COS(X3)*COS(V3)</f>
        <v>0.958559913949954</v>
      </c>
      <c r="Z3" s="32" t="n">
        <f aca="false">COS(X3)*SIN(V3)</f>
        <v>-0.273873953266817</v>
      </c>
      <c r="AA3" s="32" t="n">
        <f aca="false">SIN(X3)</f>
        <v>-0.0784598565526454</v>
      </c>
      <c r="AB3" s="32" t="n">
        <f aca="false">COS($E$6*(23.4393-46.815*K3/3600))*Z3-SIN($E$6*(23.4393-46.815*K3/3600))*AA3</f>
        <v>-0.220074282049229</v>
      </c>
      <c r="AC3" s="32" t="n">
        <f aca="false">SIN($E$6*(23.4393-46.815*K3/3600))*Z3+COS($E$6*(23.4393-46.815*K3/3600))*AA3</f>
        <v>-0.180914901953302</v>
      </c>
      <c r="AD3" s="32" t="n">
        <f aca="false">SQRT(1-AC3*AC3)</f>
        <v>0.983498753558553</v>
      </c>
      <c r="AE3" s="31" t="n">
        <f aca="false">ATAN(AC3/AD3)/$E$6</f>
        <v>-10.423054782889</v>
      </c>
      <c r="AF3" s="32" t="n">
        <f aca="false">IF(24*ATAN(AB3/(Y3+AD3))/PI()&gt;0,24*ATAN(AB3/(Y3+AD3))/PI(),24*ATAN(AB3/(Y3+AD3))/PI()+24)</f>
        <v>23.1379755348574</v>
      </c>
      <c r="AG3" s="31" t="n">
        <f aca="false">IF(L3-15*AF3&gt;0,L3-15*AF3,360+L3-15*AF3)</f>
        <v>105.287172256525</v>
      </c>
      <c r="AH3" s="29" t="n">
        <f aca="false">0.950724+0.051818*COS(O3)+0.009531*COS(2*Q3-O3)+0.007843*COS(2*Q3)+0.002824*COS(2*O3)+0.000857*COS(2*Q3+O3)+0.000533*COS(2*Q3-P3)*(1-0.002495*(J3-2415020)/36525)+0.000401*COS(2*Q3-P3-O3)*(1-0.002495*(J3-2415020)/36525)+0.00032*COS(O3-P3)*(1-0.002495*(J3-2415020)/36525)-0.000271*COS(Q3)</f>
        <v>0.973090903676492</v>
      </c>
      <c r="AI3" s="32" t="n">
        <f aca="false">ASIN(COS($E$6*$E$2)*COS($E$6*AE3)*COS($E$6*AG3)+SIN($E$6*$E$2)*SIN($E$6*AE3))/$E$6</f>
        <v>-17.7742767265305</v>
      </c>
      <c r="AJ3" s="29" t="n">
        <f aca="false">ASIN((0.9983271+0.0016764*COS($E$6*2*$E$2))*COS($E$6*AI3)*SIN($E$6*AH3))/$E$6</f>
        <v>0.924817678369871</v>
      </c>
      <c r="AK3" s="29" t="n">
        <f aca="false">AI3-AJ3</f>
        <v>-18.6990944049004</v>
      </c>
      <c r="AL3" s="31" t="n">
        <f aca="false"> MOD(280.4664567 + 360007.6982779*K3/10 + 0.03032028*K3^2/100 + K3^3/49931000,360)</f>
        <v>249.862587329251</v>
      </c>
      <c r="AM3" s="29" t="n">
        <f aca="false"> AL3 + (1.9146 - 0.004817*K3 - 0.000014*K3^2)*SIN(P3)+ (0.019993 - 0.000101*K3)*SIN(2*P3)+ 0.00029*SIN(3*P3)</f>
        <v>248.788631693133</v>
      </c>
      <c r="AN3" s="29" t="n">
        <f aca="false">ACOS(COS(V3-$E$6*AM3)*COS(X3))/$E$6</f>
        <v>95.249710163879</v>
      </c>
      <c r="AO3" s="24" t="n">
        <f aca="false">180 - AN3 -0.1468*(1-0.0549*SIN(P3))*SIN($E$6*AN3)/(1-0.0167*SIN($E$6*AM3))</f>
        <v>84.6019883667408</v>
      </c>
      <c r="AP3" s="48" t="n">
        <f aca="false">SIN($E$6*AG3)</f>
        <v>0.964616471859496</v>
      </c>
      <c r="AQ3" s="48" t="n">
        <f aca="false">COS($E$6*AG3)*SIN($E$6*$E$2) - TAN($E$6*AE3)*COS($E$6*$E$2)</f>
        <v>-0.0837320693466903</v>
      </c>
      <c r="AR3" s="48" t="n">
        <f aca="false">IF(OR(AND(AP3*AQ3&gt;0), AND(AP3&lt;0,AQ3&gt;0)), MOD(ATAN2(AQ3,AP3)/$E$6+360,360),  ATAN2(AQ3,AP3)/$E$6)</f>
        <v>94.9610379340446</v>
      </c>
      <c r="AS3" s="20" t="n">
        <f aca="false"> 385000.56 + (-20905355*COS(O3) - 3699111*COS(2*Q3-O3) - 2955968*COS(2*Q3) - 569925*COS(2*O3) + (1-0.002516*K3)*48888*COS(P3) - 3149*COS(2*R3)  +246158*COS(2*Q3-2*O3) -(1-0.002516*K3)*152138*COS(2*Q3-P3-O3) -170733*COS(2*Q3+O3) -(1-0.002516*K3)*204586*COS(2*Q3-P3) -(1-0.002516*K3)*129620*COS(P3-O3)  + 108743*COS(Q3) +(1-0.002516*K3)*104755*COS(P3+O3) +10321*COS(2*Q3-2*R3) +79661*COS(O3-2*R3) -34782*COS(4*Q3-O3) -23210*COS(3*O3)  -21636*COS(4*Q3-2*O3) +(1-0.002516*K3)*24208*COS(2*Q3+P3-O3) +(1-0.002516*K3)*30824*COS(2*Q3+P3) -8379*COS(Q3-O3) -(1-0.002516*K3)*16675*COS(Q3+P3)  -(1-0.002516*K3)*12831*COS(2*Q3-P3+O3) -10445*COS(2*Q3+2*O3) -11650*COS(4*Q3) +14403*COS(2*Q3-3*O3) -(1-0.002516*K3)*7003*COS(P3-2*O3)  + (1-0.002516*K3)*10056*COS(2*Q3-P3-2*O3) +6322*COS(Q3+O3) -(1-0.002516*K3)*(1-0.002516*K3)*9884*COS(2*Q3-2*P3) +(1-0.002516*K3)*5751*COS(P3+2*O3) -(1-0.002516*K3)*(1-0.002516*K3)*4950*COS(2*Q3-2*P3-O3)  +4130*COS(2*Q3+O3-2*R3) -(1-0.002516*K3)*3958*COS(4*Q3-P3-O3) +3258*COS(3*Q3-O3) +(1-0.002516*K3)*2616*COS(2*Q3+P3+O3) -(1-0.002516*K3)*1897*COS(4*Q3-P3-2*O3)  -(1-0.002516*K3)*(1-0.002516*K3)*2117*COS(2*P3-O3) +(1-0.002516*K3)*(1-0.002516*K3)*2354*COS(2*Q3+2*P3-O3) -1423*COS(4*Q3+O3) -1117*COS(4*O3) -(1-0.002516*K3)*1571*COS(4*Q3-P3)  -1739*COS(Q3-2*O3) -4421*COS(2*O3-2*R3) +(1-0.002516*K3)*(1-0.002516*K3)*1165*COS(2*P3+O3) +8752*COS(2*Q3-O3-2*R3))/1000</f>
        <v>375577.824584543</v>
      </c>
      <c r="AT3" s="24" t="n">
        <f aca="false">60*ATAN(3476/AS3)/$E$6</f>
        <v>31.8156872529324</v>
      </c>
      <c r="AU3" s="28" t="n">
        <f aca="false">ATAN(0.99664719*TAN($E$6*input!$D$2))</f>
        <v>0.871010436227447</v>
      </c>
      <c r="AV3" s="28" t="n">
        <f aca="false">COS(AU3)</f>
        <v>0.644053912545846</v>
      </c>
      <c r="AW3" s="28" t="n">
        <f aca="false">0.99664719*SIN(AU3)</f>
        <v>0.762415269897027</v>
      </c>
      <c r="AX3" s="28" t="n">
        <f aca="false">6378.14/AS3</f>
        <v>0.0169822060369389</v>
      </c>
      <c r="AY3" s="31" t="n">
        <f aca="false">L3-15*AF3</f>
        <v>-254.712827743476</v>
      </c>
      <c r="AZ3" s="29" t="n">
        <f aca="false">COS($E$6*AE3)*SIN($E$6*AY3)</f>
        <v>0.948699097735863</v>
      </c>
      <c r="BA3" s="29" t="n">
        <f aca="false">COS($E$6*AE3)*COS($E$6*AY3)-AV3*AX3</f>
        <v>-0.270243877694028</v>
      </c>
      <c r="BB3" s="29" t="n">
        <f aca="false">SIN($E$6*AE3)-AW3*AX3</f>
        <v>-0.193862395152401</v>
      </c>
      <c r="BC3" s="45" t="n">
        <f aca="false">SQRT(AZ3^2+BA3^2+BB3^2)</f>
        <v>1.00530809194504</v>
      </c>
      <c r="BD3" s="20" t="n">
        <f aca="false">AS3*BC3</f>
        <v>377571.426209955</v>
      </c>
      <c r="BE3" s="30" t="str">
        <f aca="false">IF(OR(AND(BD3&gt;BD2,BD3&gt;BD4),AND(BD3&lt;BD2,BD3&lt;BD4)),BD3,"")</f>
        <v/>
      </c>
    </row>
    <row r="4" customFormat="false" ht="15" hidden="false" customHeight="false" outlineLevel="0" collapsed="false">
      <c r="A4" s="31" t="n">
        <v>1</v>
      </c>
      <c r="B4" s="30" t="n">
        <f aca="false">$B$2</f>
        <v>1</v>
      </c>
      <c r="C4" s="30" t="n">
        <f aca="false">C3</f>
        <v>12</v>
      </c>
      <c r="D4" s="30" t="n">
        <f aca="false">$D$2</f>
        <v>2022</v>
      </c>
      <c r="E4" s="46" t="n">
        <f aca="false">input!$E$2</f>
        <v>15</v>
      </c>
      <c r="F4" s="38" t="n">
        <f aca="false">AK4</f>
        <v>-23.1979822541517</v>
      </c>
      <c r="G4" s="39" t="n">
        <f aca="false">F4+1.02/(TAN($E$6*(F4+10.3/(F4+5.11)))*60)</f>
        <v>-23.2365858483119</v>
      </c>
      <c r="H4" s="38" t="n">
        <f aca="false">100*(1+COS($E$6*AO4))/2</f>
        <v>54.9334686312223</v>
      </c>
      <c r="I4" s="38" t="n">
        <f aca="false">IF(AG4&gt;180, AR4-180,AR4+180)</f>
        <v>280.843371510021</v>
      </c>
      <c r="J4" s="31" t="n">
        <f aca="false">INT(365.25*IF(C4&gt;2,D4+4716,D4-1+4716))+INT(30.6001*IF(C4&gt;2,C4+1,C4+12+1))+B4+A4/24+2-INT(IF(C4&gt;2,D4,D4-1)/100)+INT(INT(IF(C4&gt;2,D4,D4-1)/100)/4)-1524.5</f>
        <v>2459914.54166667</v>
      </c>
      <c r="K4" s="47" t="n">
        <f aca="false">(J4-2451545)/36525</f>
        <v>0.229145562400178</v>
      </c>
      <c r="L4" s="31" t="n">
        <f aca="false">MOD(280.46061837+360.98564736629*(J4-2451545)+0.000387933*K4^2-K4^3/38710000+$E$4,360)</f>
        <v>99.8773394874297</v>
      </c>
      <c r="M4" s="28" t="n">
        <f aca="false">0.606433+1336.855225*K4 - INT(0.606433+1336.855225*K4)</f>
        <v>0.940875380241835</v>
      </c>
      <c r="N4" s="31" t="n">
        <f aca="false">22640*SIN(O4)-4586*SIN(O4-2*Q4)+2370*SIN(2*Q4)+769*SIN(2*O4)-668*SIN(P4)-412*SIN(2*R4)-212*SIN(2*O4-2*Q4)-206*SIN(O4+P4-2*Q4)+192*SIN(O4+2*Q4)-165*SIN(P4-2*Q4)-125*SIN(Q4)-110*SIN(O4+P4)+148*SIN(O4-P4)-55*SIN(2*R4-2*Q4)</f>
        <v>20253.3383676922</v>
      </c>
      <c r="O4" s="29" t="n">
        <f aca="false">2*PI()*(0.374897+1325.55241*K4 - INT(0.374897+1325.55241*K4))</f>
        <v>0.749894901428009</v>
      </c>
      <c r="P4" s="32" t="n">
        <f aca="false">2*PI()*(0.993133+99.997361*K4 - INT(0.993133+99.997361*K4))</f>
        <v>5.69938015908752</v>
      </c>
      <c r="Q4" s="32" t="n">
        <f aca="false">2*PI()*(0.827361+1236.853086*K4 - INT(0.827361+1236.853086*K4))</f>
        <v>1.55041994343603</v>
      </c>
      <c r="R4" s="32" t="n">
        <f aca="false">2*PI()*(0.259086+1342.227825*K4 - INT(0.259086+1342.227825*K4))</f>
        <v>5.18133972324653</v>
      </c>
      <c r="S4" s="32" t="n">
        <f aca="false">R4+(N4+412*SIN(2*R4)+541*SIN(P4))/206264.8062</f>
        <v>5.27647439366762</v>
      </c>
      <c r="T4" s="32" t="n">
        <f aca="false">R4-2*Q4</f>
        <v>2.08049983637447</v>
      </c>
      <c r="U4" s="24" t="n">
        <f aca="false">-526*SIN(T4)+44*SIN(O4+T4)-31*SIN(-O4+T4)-23*SIN(P4+T4)+11*SIN(-P4+T4)-25*SIN(-2*O4+R4)+21*SIN(-O4+R4)</f>
        <v>-500.985010039619</v>
      </c>
      <c r="V4" s="32" t="n">
        <f aca="false">2*PI()*(M4+N4/1296000-INT(M4+N4/1296000))</f>
        <v>6.00988532031048</v>
      </c>
      <c r="W4" s="31" t="n">
        <f aca="false">V4/$E$6</f>
        <v>344.341064211419</v>
      </c>
      <c r="X4" s="32" t="n">
        <f aca="false">(18520*SIN(S4)+U4)/206264.8062</f>
        <v>-0.0783062733556495</v>
      </c>
      <c r="Y4" s="32" t="n">
        <f aca="false">COS(X4)*COS(V4)</f>
        <v>0.959934802895772</v>
      </c>
      <c r="Z4" s="32" t="n">
        <f aca="false">COS(X4)*SIN(V4)</f>
        <v>-0.26908330454835</v>
      </c>
      <c r="AA4" s="32" t="n">
        <f aca="false">SIN(X4)</f>
        <v>-0.0782262705412743</v>
      </c>
      <c r="AB4" s="32" t="n">
        <f aca="false">COS($E$6*(23.4393-46.815*K4/3600))*Z4-SIN($E$6*(23.4393-46.815*K4/3600))*AA4</f>
        <v>-0.215771753068534</v>
      </c>
      <c r="AC4" s="32" t="n">
        <f aca="false">SIN($E$6*(23.4393-46.815*K4/3600))*Z4+COS($E$6*(23.4393-46.815*K4/3600))*AA4</f>
        <v>-0.178795203423324</v>
      </c>
      <c r="AD4" s="32" t="n">
        <f aca="false">SQRT(1-AC4*AC4)</f>
        <v>0.983886312148315</v>
      </c>
      <c r="AE4" s="31" t="n">
        <f aca="false">ATAN(AC4/AD4)/$E$6</f>
        <v>-10.2995916797777</v>
      </c>
      <c r="AF4" s="32" t="n">
        <f aca="false">IF(24*ATAN(AB4/(Y4+AD4))/PI()&gt;0,24*ATAN(AB4/(Y4+AD4))/PI(),24*ATAN(AB4/(Y4+AD4))/PI()+24)</f>
        <v>23.1554500441761</v>
      </c>
      <c r="AG4" s="31" t="n">
        <f aca="false">IF(L4-15*AF4&gt;0,L4-15*AF4,360+L4-15*AF4)</f>
        <v>112.545588824788</v>
      </c>
      <c r="AH4" s="29" t="n">
        <f aca="false">0.950724+0.051818*COS(O4)+0.009531*COS(2*Q4-O4)+0.007843*COS(2*Q4)+0.002824*COS(2*O4)+0.000857*COS(2*Q4+O4)+0.000533*COS(2*Q4-P4)*(1-0.002495*(J4-2415020)/36525)+0.000401*COS(2*Q4-P4-O4)*(1-0.002495*(J4-2415020)/36525)+0.00032*COS(O4-P4)*(1-0.002495*(J4-2415020)/36525)-0.000271*COS(Q4)</f>
        <v>0.972875113459247</v>
      </c>
      <c r="AI4" s="32" t="n">
        <f aca="false">ASIN(COS($E$6*$E$2)*COS($E$6*AE4)*COS($E$6*AG4)+SIN($E$6*$E$2)*SIN($E$6*AE4))/$E$6</f>
        <v>-22.2996406208692</v>
      </c>
      <c r="AJ4" s="29" t="n">
        <f aca="false">ASIN((0.9983271+0.0016764*COS($E$6*2*$E$2))*COS($E$6*AI4)*SIN($E$6*AH4))/$E$6</f>
        <v>0.898341633282554</v>
      </c>
      <c r="AK4" s="29" t="n">
        <f aca="false">AI4-AJ4</f>
        <v>-23.1979822541517</v>
      </c>
      <c r="AL4" s="31" t="n">
        <f aca="false"> MOD(280.4664567 + 360007.6982779*K4/10 + 0.03032028*K4^2/100 + K4^3/49931000,360)</f>
        <v>249.883121649025</v>
      </c>
      <c r="AM4" s="29" t="n">
        <f aca="false"> AL4 + (1.9146 - 0.004817*K4 - 0.000014*K4^2)*SIN(P4)+ (0.019993 - 0.000101*K4)*SIN(2*P4)+ 0.00029*SIN(3*P4)</f>
        <v>248.80974366992</v>
      </c>
      <c r="AN4" s="29" t="n">
        <f aca="false">ACOS(COS(V4-$E$6*AM4)*COS(X4))/$E$6</f>
        <v>95.5143179188185</v>
      </c>
      <c r="AO4" s="24" t="n">
        <f aca="false">180 - AN4 -0.1468*(1-0.0549*SIN(P4))*SIN($E$6*AN4)/(1-0.0167*SIN($E$6*AM4))</f>
        <v>84.3374478093014</v>
      </c>
      <c r="AP4" s="48" t="n">
        <f aca="false">SIN($E$6*AG4)</f>
        <v>0.923574748413623</v>
      </c>
      <c r="AQ4" s="48" t="n">
        <f aca="false">COS($E$6*AG4)*SIN($E$6*$E$2) - TAN($E$6*AE4)*COS($E$6*$E$2)</f>
        <v>-0.176905974875885</v>
      </c>
      <c r="AR4" s="48" t="n">
        <f aca="false">IF(OR(AND(AP4*AQ4&gt;0), AND(AP4&lt;0,AQ4&gt;0)), MOD(ATAN2(AQ4,AP4)/$E$6+360,360),  ATAN2(AQ4,AP4)/$E$6)</f>
        <v>100.843371510021</v>
      </c>
      <c r="AS4" s="20" t="n">
        <f aca="false"> 385000.56 + (-20905355*COS(O4) - 3699111*COS(2*Q4-O4) - 2955968*COS(2*Q4) - 569925*COS(2*O4) + (1-0.002516*K4)*48888*COS(P4) - 3149*COS(2*R4)  +246158*COS(2*Q4-2*O4) -(1-0.002516*K4)*152138*COS(2*Q4-P4-O4) -170733*COS(2*Q4+O4) -(1-0.002516*K4)*204586*COS(2*Q4-P4) -(1-0.002516*K4)*129620*COS(P4-O4)  + 108743*COS(Q4) +(1-0.002516*K4)*104755*COS(P4+O4) +10321*COS(2*Q4-2*R4) +79661*COS(O4-2*R4) -34782*COS(4*Q4-O4) -23210*COS(3*O4)  -21636*COS(4*Q4-2*O4) +(1-0.002516*K4)*24208*COS(2*Q4+P4-O4) +(1-0.002516*K4)*30824*COS(2*Q4+P4) -8379*COS(Q4-O4) -(1-0.002516*K4)*16675*COS(Q4+P4)  -(1-0.002516*K4)*12831*COS(2*Q4-P4+O4) -10445*COS(2*Q4+2*O4) -11650*COS(4*Q4) +14403*COS(2*Q4-3*O4) -(1-0.002516*K4)*7003*COS(P4-2*O4)  + (1-0.002516*K4)*10056*COS(2*Q4-P4-2*O4) +6322*COS(Q4+O4) -(1-0.002516*K4)*(1-0.002516*K4)*9884*COS(2*Q4-2*P4) +(1-0.002516*K4)*5751*COS(P4+2*O4) -(1-0.002516*K4)*(1-0.002516*K4)*4950*COS(2*Q4-2*P4-O4)  +4130*COS(2*Q4+O4-2*R4) -(1-0.002516*K4)*3958*COS(4*Q4-P4-O4) +3258*COS(3*Q4-O4) +(1-0.002516*K4)*2616*COS(2*Q4+P4+O4) -(1-0.002516*K4)*1897*COS(4*Q4-P4-2*O4)  -(1-0.002516*K4)*(1-0.002516*K4)*2117*COS(2*P4-O4) +(1-0.002516*K4)*(1-0.002516*K4)*2354*COS(2*Q4+2*P4-O4) -1423*COS(4*Q4+O4) -1117*COS(4*O4) -(1-0.002516*K4)*1571*COS(4*Q4-P4)  -1739*COS(Q4-2*O4) -4421*COS(2*O4-2*R4) +(1-0.002516*K4)*(1-0.002516*K4)*1165*COS(2*P4+O4) +8752*COS(2*Q4-O4-2*R4))/1000</f>
        <v>375659.787356169</v>
      </c>
      <c r="AT4" s="24" t="n">
        <f aca="false">60*ATAN(3476/AS4)/$E$6</f>
        <v>31.808745990798</v>
      </c>
      <c r="AU4" s="28" t="n">
        <f aca="false">ATAN(0.99664719*TAN($E$6*input!$D$2))</f>
        <v>0.871010436227447</v>
      </c>
      <c r="AV4" s="28" t="n">
        <f aca="false">COS(AU4)</f>
        <v>0.644053912545846</v>
      </c>
      <c r="AW4" s="28" t="n">
        <f aca="false">0.99664719*SIN(AU4)</f>
        <v>0.762415269897027</v>
      </c>
      <c r="AX4" s="28" t="n">
        <f aca="false">6378.14/AS4</f>
        <v>0.0169785007995886</v>
      </c>
      <c r="AY4" s="31" t="n">
        <f aca="false">L4-15*AF4</f>
        <v>-247.454411175213</v>
      </c>
      <c r="AZ4" s="29" t="n">
        <f aca="false">COS($E$6*AE4)*SIN($E$6*AY4)</f>
        <v>0.908692553209987</v>
      </c>
      <c r="BA4" s="29" t="n">
        <f aca="false">COS($E$6*AE4)*COS($E$6*AY4)-AV4*AX4</f>
        <v>-0.388175204231226</v>
      </c>
      <c r="BB4" s="29" t="n">
        <f aca="false">SIN($E$6*AE4)-AW4*AX4</f>
        <v>-0.191739871692889</v>
      </c>
      <c r="BC4" s="45" t="n">
        <f aca="false">SQRT(AZ4^2+BA4^2+BB4^2)</f>
        <v>1.00656163439506</v>
      </c>
      <c r="BD4" s="20" t="n">
        <f aca="false">AS4*BC4</f>
        <v>378124.729537724</v>
      </c>
      <c r="BE4" s="30" t="str">
        <f aca="false">IF(OR(AND(BD4&gt;BD3,BD4&gt;BD5),AND(BD4&lt;BD3,BD4&lt;BD5)),BD4,"")</f>
        <v/>
      </c>
    </row>
    <row r="5" customFormat="false" ht="15" hidden="false" customHeight="false" outlineLevel="0" collapsed="false">
      <c r="A5" s="31" t="n">
        <v>1.5</v>
      </c>
      <c r="B5" s="30" t="n">
        <f aca="false">$B$2</f>
        <v>1</v>
      </c>
      <c r="C5" s="30" t="n">
        <f aca="false">C4</f>
        <v>12</v>
      </c>
      <c r="D5" s="30" t="n">
        <f aca="false">$D$2</f>
        <v>2022</v>
      </c>
      <c r="F5" s="38" t="n">
        <f aca="false">AK5</f>
        <v>-27.5980855211781</v>
      </c>
      <c r="G5" s="39" t="n">
        <f aca="false">F5+1.02/(TAN($E$6*(F5+10.3/(F5+5.11)))*60)</f>
        <v>-27.6299824805601</v>
      </c>
      <c r="H5" s="38" t="n">
        <f aca="false">100*(1+COS($E$6*AO5))/2</f>
        <v>55.1630335117394</v>
      </c>
      <c r="I5" s="38" t="n">
        <f aca="false">IF(AG5&gt;180, AR5-180,AR5+180)</f>
        <v>287.005179702724</v>
      </c>
      <c r="J5" s="31" t="n">
        <f aca="false">INT(365.25*IF(C5&gt;2,D5+4716,D5-1+4716))+INT(30.6001*IF(C5&gt;2,C5+1,C5+12+1))+B5+A5/24+2-INT(IF(C5&gt;2,D5,D5-1)/100)+INT(INT(IF(C5&gt;2,D5,D5-1)/100)/4)-1524.5</f>
        <v>2459914.5625</v>
      </c>
      <c r="K5" s="47" t="n">
        <f aca="false">(J5-2451545)/36525</f>
        <v>0.229146132785763</v>
      </c>
      <c r="L5" s="31" t="n">
        <f aca="false">MOD(280.46061837+360.98564736629*(J5-2451545)+0.000387933*K5^2-K5^3/38710000+$E$4,360)</f>
        <v>107.397873863578</v>
      </c>
      <c r="M5" s="28" t="n">
        <f aca="false">0.606433+1336.855225*K5 - INT(0.606433+1336.855225*K5)</f>
        <v>0.941637903191293</v>
      </c>
      <c r="N5" s="31" t="n">
        <f aca="false">22640*SIN(O5)-4586*SIN(O5-2*Q5)+2370*SIN(2*Q5)+769*SIN(2*O5)-668*SIN(P5)-412*SIN(2*R5)-212*SIN(2*O5-2*Q5)-206*SIN(O5+P5-2*Q5)+192*SIN(O5+2*Q5)-165*SIN(P5-2*Q5)-125*SIN(Q5)-110*SIN(O5+P5)+148*SIN(O5-P5)-55*SIN(2*R5-2*Q5)</f>
        <v>20295.8215996773</v>
      </c>
      <c r="O5" s="29" t="n">
        <f aca="false">2*PI()*(0.374897+1325.55241*K5 - INT(0.374897+1325.55241*K5))</f>
        <v>0.754645466958846</v>
      </c>
      <c r="P5" s="32" t="n">
        <f aca="false">2*PI()*(0.993133+99.997361*K5 - INT(0.993133+99.997361*K5))</f>
        <v>5.69973853346244</v>
      </c>
      <c r="Q5" s="32" t="n">
        <f aca="false">2*PI()*(0.827361+1236.853086*K5 - INT(0.827361+1236.853086*K5))</f>
        <v>1.55485262492965</v>
      </c>
      <c r="R5" s="32" t="n">
        <f aca="false">2*PI()*(0.259086+1342.227825*K5 - INT(0.259086+1342.227825*K5))</f>
        <v>5.18615005076848</v>
      </c>
      <c r="S5" s="32" t="n">
        <f aca="false">R5+(N5+412*SIN(2*R5)+541*SIN(P5))/206264.8062</f>
        <v>5.28148017852176</v>
      </c>
      <c r="T5" s="32" t="n">
        <f aca="false">R5-2*Q5</f>
        <v>2.07644480090918</v>
      </c>
      <c r="U5" s="24" t="n">
        <f aca="false">-526*SIN(T5)+44*SIN(O5+T5)-31*SIN(-O5+T5)-23*SIN(P5+T5)+11*SIN(-P5+T5)-25*SIN(-2*O5+R5)+21*SIN(-O5+R5)</f>
        <v>-502.036521288789</v>
      </c>
      <c r="V5" s="32" t="n">
        <f aca="false">2*PI()*(M5+N5/1296000-INT(M5+N5/1296000))</f>
        <v>6.01488235782374</v>
      </c>
      <c r="W5" s="31" t="n">
        <f aca="false">V5/$E$6</f>
        <v>344.627373370998</v>
      </c>
      <c r="X5" s="32" t="n">
        <f aca="false">(18520*SIN(S5)+U5)/206264.8062</f>
        <v>-0.0780701225308794</v>
      </c>
      <c r="Y5" s="32" t="n">
        <f aca="false">COS(X5)*COS(V5)</f>
        <v>0.961285217185017</v>
      </c>
      <c r="Z5" s="32" t="n">
        <f aca="false">COS(X5)*SIN(V5)</f>
        <v>-0.264288024533625</v>
      </c>
      <c r="AA5" s="32" t="n">
        <f aca="false">SIN(X5)</f>
        <v>-0.0779908411909371</v>
      </c>
      <c r="AB5" s="32" t="n">
        <f aca="false">COS($E$6*(23.4393-46.815*K5/3600))*Z5-SIN($E$6*(23.4393-46.815*K5/3600))*AA5</f>
        <v>-0.211465708010966</v>
      </c>
      <c r="AC5" s="32" t="n">
        <f aca="false">SIN($E$6*(23.4393-46.815*K5/3600))*Z5+COS($E$6*(23.4393-46.815*K5/3600))*AA5</f>
        <v>-0.176671971622487</v>
      </c>
      <c r="AD5" s="32" t="n">
        <f aca="false">SQRT(1-AC5*AC5)</f>
        <v>0.984269787427727</v>
      </c>
      <c r="AE5" s="31" t="n">
        <f aca="false">ATAN(AC5/AD5)/$E$6</f>
        <v>-10.1759712271626</v>
      </c>
      <c r="AF5" s="32" t="n">
        <f aca="false">IF(24*ATAN(AB5/(Y5+AD5))/PI()&gt;0,24*ATAN(AB5/(Y5+AD5))/PI(),24*ATAN(AB5/(Y5+AD5))/PI()+24)</f>
        <v>23.1729033477239</v>
      </c>
      <c r="AG5" s="31" t="n">
        <f aca="false">IF(L5-15*AF5&gt;0,L5-15*AF5,360+L5-15*AF5)</f>
        <v>119.804323647719</v>
      </c>
      <c r="AH5" s="29" t="n">
        <f aca="false">0.950724+0.051818*COS(O5)+0.009531*COS(2*Q5-O5)+0.007843*COS(2*Q5)+0.002824*COS(2*O5)+0.000857*COS(2*Q5+O5)+0.000533*COS(2*Q5-P5)*(1-0.002495*(J5-2415020)/36525)+0.000401*COS(2*Q5-P5-O5)*(1-0.002495*(J5-2415020)/36525)+0.00032*COS(O5-P5)*(1-0.002495*(J5-2415020)/36525)-0.000271*COS(Q5)</f>
        <v>0.972659336509125</v>
      </c>
      <c r="AI5" s="32" t="n">
        <f aca="false">ASIN(COS($E$6*$E$2)*COS($E$6*AE5)*COS($E$6*AG5)+SIN($E$6*$E$2)*SIN($E$6*AE5))/$E$6</f>
        <v>-26.7310914872311</v>
      </c>
      <c r="AJ5" s="29" t="n">
        <f aca="false">ASIN((0.9983271+0.0016764*COS($E$6*2*$E$2))*COS($E$6*AI5)*SIN($E$6*AH5))/$E$6</f>
        <v>0.866994033946966</v>
      </c>
      <c r="AK5" s="29" t="n">
        <f aca="false">AI5-AJ5</f>
        <v>-27.5980855211781</v>
      </c>
      <c r="AL5" s="31" t="n">
        <f aca="false"> MOD(280.4664567 + 360007.6982779*K5/10 + 0.03032028*K5^2/100 + K5^3/49931000,360)</f>
        <v>249.903655969261</v>
      </c>
      <c r="AM5" s="29" t="n">
        <f aca="false"> AL5 + (1.9146 - 0.004817*K5 - 0.000014*K5^2)*SIN(P5)+ (0.019993 - 0.000101*K5)*SIN(2*P5)+ 0.00029*SIN(3*P5)</f>
        <v>248.830855792407</v>
      </c>
      <c r="AN5" s="29" t="n">
        <f aca="false">ACOS(COS(V5-$E$6*AM5)*COS(X5))/$E$6</f>
        <v>95.7788016181916</v>
      </c>
      <c r="AO5" s="24" t="n">
        <f aca="false">180 - AN5 -0.1468*(1-0.0549*SIN(P5))*SIN($E$6*AN5)/(1-0.0167*SIN($E$6*AM5))</f>
        <v>84.0730344344134</v>
      </c>
      <c r="AP5" s="48" t="n">
        <f aca="false">SIN($E$6*AG5)</f>
        <v>0.867727948304636</v>
      </c>
      <c r="AQ5" s="48" t="n">
        <f aca="false">COS($E$6*AG5)*SIN($E$6*$E$2) - TAN($E$6*AE5)*COS($E$6*$E$2)</f>
        <v>-0.26537683678211</v>
      </c>
      <c r="AR5" s="48" t="n">
        <f aca="false">IF(OR(AND(AP5*AQ5&gt;0), AND(AP5&lt;0,AQ5&gt;0)), MOD(ATAN2(AQ5,AP5)/$E$6+360,360),  ATAN2(AQ5,AP5)/$E$6)</f>
        <v>107.005179702724</v>
      </c>
      <c r="AS5" s="20" t="n">
        <f aca="false"> 385000.56 + (-20905355*COS(O5) - 3699111*COS(2*Q5-O5) - 2955968*COS(2*Q5) - 569925*COS(2*O5) + (1-0.002516*K5)*48888*COS(P5) - 3149*COS(2*R5)  +246158*COS(2*Q5-2*O5) -(1-0.002516*K5)*152138*COS(2*Q5-P5-O5) -170733*COS(2*Q5+O5) -(1-0.002516*K5)*204586*COS(2*Q5-P5) -(1-0.002516*K5)*129620*COS(P5-O5)  + 108743*COS(Q5) +(1-0.002516*K5)*104755*COS(P5+O5) +10321*COS(2*Q5-2*R5) +79661*COS(O5-2*R5) -34782*COS(4*Q5-O5) -23210*COS(3*O5)  -21636*COS(4*Q5-2*O5) +(1-0.002516*K5)*24208*COS(2*Q5+P5-O5) +(1-0.002516*K5)*30824*COS(2*Q5+P5) -8379*COS(Q5-O5) -(1-0.002516*K5)*16675*COS(Q5+P5)  -(1-0.002516*K5)*12831*COS(2*Q5-P5+O5) -10445*COS(2*Q5+2*O5) -11650*COS(4*Q5) +14403*COS(2*Q5-3*O5) -(1-0.002516*K5)*7003*COS(P5-2*O5)  + (1-0.002516*K5)*10056*COS(2*Q5-P5-2*O5) +6322*COS(Q5+O5) -(1-0.002516*K5)*(1-0.002516*K5)*9884*COS(2*Q5-2*P5) +(1-0.002516*K5)*5751*COS(P5+2*O5) -(1-0.002516*K5)*(1-0.002516*K5)*4950*COS(2*Q5-2*P5-O5)  +4130*COS(2*Q5+O5-2*R5) -(1-0.002516*K5)*3958*COS(4*Q5-P5-O5) +3258*COS(3*Q5-O5) +(1-0.002516*K5)*2616*COS(2*Q5+P5+O5) -(1-0.002516*K5)*1897*COS(4*Q5-P5-2*O5)  -(1-0.002516*K5)*(1-0.002516*K5)*2117*COS(2*P5-O5) +(1-0.002516*K5)*(1-0.002516*K5)*2354*COS(2*Q5+2*P5-O5) -1423*COS(4*Q5+O5) -1117*COS(4*O5) -(1-0.002516*K5)*1571*COS(4*Q5-P5)  -1739*COS(Q5-2*O5) -4421*COS(2*O5-2*R5) +(1-0.002516*K5)*(1-0.002516*K5)*1165*COS(2*P5+O5) +8752*COS(2*Q5-O5-2*R5))/1000</f>
        <v>375741.790636409</v>
      </c>
      <c r="AT5" s="24" t="n">
        <f aca="false">60*ATAN(3476/AS5)/$E$6</f>
        <v>31.8018043283335</v>
      </c>
      <c r="AU5" s="28" t="n">
        <f aca="false">ATAN(0.99664719*TAN($E$6*input!$D$2))</f>
        <v>0.871010436227447</v>
      </c>
      <c r="AV5" s="28" t="n">
        <f aca="false">COS(AU5)</f>
        <v>0.644053912545846</v>
      </c>
      <c r="AW5" s="28" t="n">
        <f aca="false">0.99664719*SIN(AU5)</f>
        <v>0.762415269897027</v>
      </c>
      <c r="AX5" s="28" t="n">
        <f aca="false">6378.14/AS5</f>
        <v>0.016974795348681</v>
      </c>
      <c r="AY5" s="31" t="n">
        <f aca="false">L5-15*AF5</f>
        <v>-240.195676352281</v>
      </c>
      <c r="AZ5" s="29" t="n">
        <f aca="false">COS($E$6*AE5)*SIN($E$6*AY5)</f>
        <v>0.854078403222902</v>
      </c>
      <c r="BA5" s="29" t="n">
        <f aca="false">COS($E$6*AE5)*COS($E$6*AY5)-AV5*AX5</f>
        <v>-0.500153590098711</v>
      </c>
      <c r="BB5" s="29" t="n">
        <f aca="false">SIN($E$6*AE5)-AW5*AX5</f>
        <v>-0.189613814799698</v>
      </c>
      <c r="BC5" s="45" t="n">
        <f aca="false">SQRT(AZ5^2+BA5^2+BB5^2)</f>
        <v>1.00774844644053</v>
      </c>
      <c r="BD5" s="20" t="n">
        <f aca="false">AS5*BC5</f>
        <v>378653.205776625</v>
      </c>
      <c r="BE5" s="49" t="str">
        <f aca="false">IF(OR(AND(BD5&gt;BD4,BD5&gt;BD6),AND(BD5&lt;BD4,BD5&lt;BD6)),BD5,"")</f>
        <v/>
      </c>
    </row>
    <row r="6" customFormat="false" ht="15" hidden="false" customHeight="false" outlineLevel="0" collapsed="false">
      <c r="A6" s="31" t="n">
        <v>2</v>
      </c>
      <c r="B6" s="30" t="n">
        <f aca="false">$B$2</f>
        <v>1</v>
      </c>
      <c r="C6" s="30" t="n">
        <f aca="false">C5</f>
        <v>12</v>
      </c>
      <c r="D6" s="30" t="n">
        <f aca="false">$D$2</f>
        <v>2022</v>
      </c>
      <c r="E6" s="23" t="n">
        <f aca="false">PI()/180</f>
        <v>0.0174532925199433</v>
      </c>
      <c r="F6" s="38" t="n">
        <f aca="false">AK6</f>
        <v>-31.84058912238</v>
      </c>
      <c r="G6" s="39" t="n">
        <f aca="false">F6+1.02/(TAN($E$6*(F6+10.3/(F6+5.11)))*60)</f>
        <v>-31.8675576046992</v>
      </c>
      <c r="H6" s="38" t="n">
        <f aca="false">100*(1+COS($E$6*AO6))/2</f>
        <v>55.3923781977808</v>
      </c>
      <c r="I6" s="38" t="n">
        <f aca="false">IF(AG6&gt;180, AR6-180,AR6+180)</f>
        <v>293.547194038714</v>
      </c>
      <c r="J6" s="31" t="n">
        <f aca="false">INT(365.25*IF(C6&gt;2,D6+4716,D6-1+4716))+INT(30.6001*IF(C6&gt;2,C6+1,C6+12+1))+B6+A6/24+2-INT(IF(C6&gt;2,D6,D6-1)/100)+INT(INT(IF(C6&gt;2,D6,D6-1)/100)/4)-1524.5</f>
        <v>2459914.58333333</v>
      </c>
      <c r="K6" s="47" t="n">
        <f aca="false">(J6-2451545)/36525</f>
        <v>0.229146703171348</v>
      </c>
      <c r="L6" s="31" t="n">
        <f aca="false">MOD(280.46061837+360.98564736629*(J6-2451545)+0.000387933*K6^2-K6^3/38710000+$E$4,360)</f>
        <v>114.918408240192</v>
      </c>
      <c r="M6" s="28" t="n">
        <f aca="false">0.606433+1336.855225*K6 - INT(0.606433+1336.855225*K6)</f>
        <v>0.94240042614075</v>
      </c>
      <c r="N6" s="31" t="n">
        <f aca="false">22640*SIN(O6)-4586*SIN(O6-2*Q6)+2370*SIN(2*Q6)+769*SIN(2*O6)-668*SIN(P6)-412*SIN(2*R6)-212*SIN(2*O6-2*Q6)-206*SIN(O6+P6-2*Q6)+192*SIN(O6+2*Q6)-165*SIN(P6-2*Q6)-125*SIN(Q6)-110*SIN(O6+P6)+148*SIN(O6-P6)-55*SIN(2*R6-2*Q6)</f>
        <v>20337.8229440675</v>
      </c>
      <c r="O6" s="29" t="n">
        <f aca="false">2*PI()*(0.374897+1325.55241*K6 - INT(0.374897+1325.55241*K6))</f>
        <v>0.759396032489326</v>
      </c>
      <c r="P6" s="32" t="n">
        <f aca="false">2*PI()*(0.993133+99.997361*K6 - INT(0.993133+99.997361*K6))</f>
        <v>5.70009690783734</v>
      </c>
      <c r="Q6" s="32" t="n">
        <f aca="false">2*PI()*(0.827361+1236.853086*K6 - INT(0.827361+1236.853086*K6))</f>
        <v>1.55928530642362</v>
      </c>
      <c r="R6" s="32" t="n">
        <f aca="false">2*PI()*(0.259086+1342.227825*K6 - INT(0.259086+1342.227825*K6))</f>
        <v>5.19096037829078</v>
      </c>
      <c r="S6" s="32" t="n">
        <f aca="false">R6+(N6+412*SIN(2*R6)+541*SIN(P6))/206264.8062</f>
        <v>5.28648377741805</v>
      </c>
      <c r="T6" s="32" t="n">
        <f aca="false">R6-2*Q6</f>
        <v>2.07238976544354</v>
      </c>
      <c r="U6" s="24" t="n">
        <f aca="false">-526*SIN(T6)+44*SIN(O6+T6)-31*SIN(-O6+T6)-23*SIN(P6+T6)+11*SIN(-P6+T6)-25*SIN(-2*O6+R6)+21*SIN(-O6+R6)</f>
        <v>-503.078209096667</v>
      </c>
      <c r="V6" s="32" t="n">
        <f aca="false">2*PI()*(M6+N6/1296000-INT(M6+N6/1296000))</f>
        <v>6.01987705908002</v>
      </c>
      <c r="W6" s="31" t="n">
        <f aca="false">V6/$E$6</f>
        <v>344.913548672911</v>
      </c>
      <c r="X6" s="32" t="n">
        <f aca="false">(18520*SIN(S6)+U6)/206264.8062</f>
        <v>-0.077832135392593</v>
      </c>
      <c r="Y6" s="32" t="n">
        <f aca="false">COS(X6)*COS(V6)</f>
        <v>0.962611154682907</v>
      </c>
      <c r="Z6" s="32" t="n">
        <f aca="false">COS(X6)*SIN(V6)</f>
        <v>-0.259488239010219</v>
      </c>
      <c r="AA6" s="32" t="n">
        <f aca="false">SIN(X6)</f>
        <v>-0.0777535767371236</v>
      </c>
      <c r="AB6" s="32" t="n">
        <f aca="false">COS($E$6*(23.4393-46.815*K6/3600))*Z6-SIN($E$6*(23.4393-46.815*K6/3600))*AA6</f>
        <v>-0.207156259011464</v>
      </c>
      <c r="AC6" s="32" t="n">
        <f aca="false">SIN($E$6*(23.4393-46.815*K6/3600))*Z6+COS($E$6*(23.4393-46.815*K6/3600))*AA6</f>
        <v>-0.174545264136314</v>
      </c>
      <c r="AD6" s="32" t="n">
        <f aca="false">SQRT(1-AC6*AC6)</f>
        <v>0.984649151102861</v>
      </c>
      <c r="AE6" s="31" t="n">
        <f aca="false">ATAN(AC6/AD6)/$E$6</f>
        <v>-10.0521963845889</v>
      </c>
      <c r="AF6" s="32" t="n">
        <f aca="false">IF(24*ATAN(AB6/(Y6+AD6))/PI()&gt;0,24*ATAN(AB6/(Y6+AD6))/PI(),24*ATAN(AB6/(Y6+AD6))/PI()+24)</f>
        <v>23.1903356259203</v>
      </c>
      <c r="AG6" s="31" t="n">
        <f aca="false">IF(L6-15*AF6&gt;0,L6-15*AF6,360+L6-15*AF6)</f>
        <v>127.063373851386</v>
      </c>
      <c r="AH6" s="29" t="n">
        <f aca="false">0.950724+0.051818*COS(O6)+0.009531*COS(2*Q6-O6)+0.007843*COS(2*Q6)+0.002824*COS(2*O6)+0.000857*COS(2*Q6+O6)+0.000533*COS(2*Q6-P6)*(1-0.002495*(J6-2415020)/36525)+0.000401*COS(2*Q6-P6-O6)*(1-0.002495*(J6-2415020)/36525)+0.00032*COS(O6-P6)*(1-0.002495*(J6-2415020)/36525)-0.000271*COS(Q6)</f>
        <v>0.972443578130089</v>
      </c>
      <c r="AI6" s="32" t="n">
        <f aca="false">ASIN(COS($E$6*$E$2)*COS($E$6*AE6)*COS($E$6*AG6)+SIN($E$6*$E$2)*SIN($E$6*AE6))/$E$6</f>
        <v>-31.0087665811054</v>
      </c>
      <c r="AJ6" s="29" t="n">
        <f aca="false">ASIN((0.9983271+0.0016764*COS($E$6*2*$E$2))*COS($E$6*AI6)*SIN($E$6*AH6))/$E$6</f>
        <v>0.831822541274534</v>
      </c>
      <c r="AK6" s="29" t="n">
        <f aca="false">AI6-AJ6</f>
        <v>-31.84058912238</v>
      </c>
      <c r="AL6" s="31" t="n">
        <f aca="false"> MOD(280.4664567 + 360007.6982779*K6/10 + 0.03032028*K6^2/100 + K6^3/49931000,360)</f>
        <v>249.924190289496</v>
      </c>
      <c r="AM6" s="29" t="n">
        <f aca="false"> AL6 + (1.9146 - 0.004817*K6 - 0.000014*K6^2)*SIN(P6)+ (0.019993 - 0.000101*K6)*SIN(2*P6)+ 0.00029*SIN(3*P6)</f>
        <v>248.851968060041</v>
      </c>
      <c r="AN6" s="29" t="n">
        <f aca="false">ACOS(COS(V6-$E$6*AM6)*COS(X6))/$E$6</f>
        <v>96.0431613753961</v>
      </c>
      <c r="AO6" s="24" t="n">
        <f aca="false">180 - AN6 -0.1468*(1-0.0549*SIN(P6))*SIN($E$6*AN6)/(1-0.0167*SIN($E$6*AM6))</f>
        <v>83.8087481226545</v>
      </c>
      <c r="AP6" s="48" t="n">
        <f aca="false">SIN($E$6*AG6)</f>
        <v>0.797969364665542</v>
      </c>
      <c r="AQ6" s="48" t="n">
        <f aca="false">COS($E$6*AG6)*SIN($E$6*$E$2) - TAN($E$6*AE6)*COS($E$6*$E$2)</f>
        <v>-0.347748781889355</v>
      </c>
      <c r="AR6" s="48" t="n">
        <f aca="false">IF(OR(AND(AP6*AQ6&gt;0), AND(AP6&lt;0,AQ6&gt;0)), MOD(ATAN2(AQ6,AP6)/$E$6+360,360),  ATAN2(AQ6,AP6)/$E$6)</f>
        <v>113.547194038714</v>
      </c>
      <c r="AS6" s="20" t="n">
        <f aca="false"> 385000.56 + (-20905355*COS(O6) - 3699111*COS(2*Q6-O6) - 2955968*COS(2*Q6) - 569925*COS(2*O6) + (1-0.002516*K6)*48888*COS(P6) - 3149*COS(2*R6)  +246158*COS(2*Q6-2*O6) -(1-0.002516*K6)*152138*COS(2*Q6-P6-O6) -170733*COS(2*Q6+O6) -(1-0.002516*K6)*204586*COS(2*Q6-P6) -(1-0.002516*K6)*129620*COS(P6-O6)  + 108743*COS(Q6) +(1-0.002516*K6)*104755*COS(P6+O6) +10321*COS(2*Q6-2*R6) +79661*COS(O6-2*R6) -34782*COS(4*Q6-O6) -23210*COS(3*O6)  -21636*COS(4*Q6-2*O6) +(1-0.002516*K6)*24208*COS(2*Q6+P6-O6) +(1-0.002516*K6)*30824*COS(2*Q6+P6) -8379*COS(Q6-O6) -(1-0.002516*K6)*16675*COS(Q6+P6)  -(1-0.002516*K6)*12831*COS(2*Q6-P6+O6) -10445*COS(2*Q6+2*O6) -11650*COS(4*Q6) +14403*COS(2*Q6-3*O6) -(1-0.002516*K6)*7003*COS(P6-2*O6)  + (1-0.002516*K6)*10056*COS(2*Q6-P6-2*O6) +6322*COS(Q6+O6) -(1-0.002516*K6)*(1-0.002516*K6)*9884*COS(2*Q6-2*P6) +(1-0.002516*K6)*5751*COS(P6+2*O6) -(1-0.002516*K6)*(1-0.002516*K6)*4950*COS(2*Q6-2*P6-O6)  +4130*COS(2*Q6+O6-2*R6) -(1-0.002516*K6)*3958*COS(4*Q6-P6-O6) +3258*COS(3*Q6-O6) +(1-0.002516*K6)*2616*COS(2*Q6+P6+O6) -(1-0.002516*K6)*1897*COS(4*Q6-P6-2*O6)  -(1-0.002516*K6)*(1-0.002516*K6)*2117*COS(2*P6-O6) +(1-0.002516*K6)*(1-0.002516*K6)*2354*COS(2*Q6+2*P6-O6) -1423*COS(4*Q6+O6) -1117*COS(4*O6) -(1-0.002516*K6)*1571*COS(4*Q6-P6)  -1739*COS(Q6-2*O6) -4421*COS(2*O6-2*R6) +(1-0.002516*K6)*(1-0.002516*K6)*1165*COS(2*P6+O6) +8752*COS(2*Q6-O6-2*R6))/1000</f>
        <v>375823.832616586</v>
      </c>
      <c r="AT6" s="24" t="n">
        <f aca="false">60*ATAN(3476/AS6)/$E$6</f>
        <v>31.7948624210516</v>
      </c>
      <c r="AU6" s="28" t="n">
        <f aca="false">ATAN(0.99664719*TAN($E$6*input!$D$2))</f>
        <v>0.871010436227447</v>
      </c>
      <c r="AV6" s="28" t="n">
        <f aca="false">COS(AU6)</f>
        <v>0.644053912545846</v>
      </c>
      <c r="AW6" s="28" t="n">
        <f aca="false">0.99664719*SIN(AU6)</f>
        <v>0.762415269897027</v>
      </c>
      <c r="AX6" s="28" t="n">
        <f aca="false">6378.14/AS6</f>
        <v>0.0169710897672287</v>
      </c>
      <c r="AY6" s="31" t="n">
        <f aca="false">L6-15*AF6</f>
        <v>-232.936626148614</v>
      </c>
      <c r="AZ6" s="29" t="n">
        <f aca="false">COS($E$6*AE6)*SIN($E$6*AY6)</f>
        <v>0.785719857524015</v>
      </c>
      <c r="BA6" s="29" t="n">
        <f aca="false">COS($E$6*AE6)*COS($E$6*AY6)-AV6*AX6</f>
        <v>-0.6043763821508</v>
      </c>
      <c r="BB6" s="29" t="n">
        <f aca="false">SIN($E$6*AE6)-AW6*AX6</f>
        <v>-0.187484282121642</v>
      </c>
      <c r="BC6" s="45" t="n">
        <f aca="false">SQRT(AZ6^2+BA6^2+BB6^2)</f>
        <v>1.00884927608237</v>
      </c>
      <c r="BD6" s="20" t="n">
        <f aca="false">AS6*BC6</f>
        <v>379149.601469743</v>
      </c>
      <c r="BE6" s="30" t="str">
        <f aca="false">IF(OR(AND(BD6&gt;BD5,BD6&gt;BD7),AND(BD6&lt;BD5,BD6&lt;BD7)),BD6,"")</f>
        <v/>
      </c>
    </row>
    <row r="7" customFormat="false" ht="15" hidden="false" customHeight="false" outlineLevel="0" collapsed="false">
      <c r="A7" s="31" t="n">
        <v>2.5</v>
      </c>
      <c r="B7" s="30" t="n">
        <f aca="false">$B$2</f>
        <v>1</v>
      </c>
      <c r="C7" s="30" t="n">
        <f aca="false">C6</f>
        <v>12</v>
      </c>
      <c r="D7" s="30" t="n">
        <f aca="false">$D$2</f>
        <v>2022</v>
      </c>
      <c r="E7" s="30" t="s">
        <v>72</v>
      </c>
      <c r="F7" s="38" t="n">
        <f aca="false">AK7</f>
        <v>-35.8565405277489</v>
      </c>
      <c r="G7" s="39" t="n">
        <f aca="false">F7+1.02/(TAN($E$6*(F7+10.3/(F7+5.11)))*60)</f>
        <v>-35.8797752818986</v>
      </c>
      <c r="H7" s="38" t="n">
        <f aca="false">100*(1+COS($E$6*AO7))/2</f>
        <v>55.6214980774267</v>
      </c>
      <c r="I7" s="38" t="n">
        <f aca="false">IF(AG7&gt;180, AR7-180,AR7+180)</f>
        <v>300.577914315158</v>
      </c>
      <c r="J7" s="31" t="n">
        <f aca="false">INT(365.25*IF(C7&gt;2,D7+4716,D7-1+4716))+INT(30.6001*IF(C7&gt;2,C7+1,C7+12+1))+B7+A7/24+2-INT(IF(C7&gt;2,D7,D7-1)/100)+INT(INT(IF(C7&gt;2,D7,D7-1)/100)/4)-1524.5</f>
        <v>2459914.60416667</v>
      </c>
      <c r="K7" s="47" t="n">
        <f aca="false">(J7-2451545)/36525</f>
        <v>0.22914727355692</v>
      </c>
      <c r="L7" s="31" t="n">
        <f aca="false">MOD(280.46061837+360.98564736629*(J7-2451545)+0.000387933*K7^2-K7^3/38710000+$E$4,360)</f>
        <v>122.438942448236</v>
      </c>
      <c r="M7" s="28" t="n">
        <f aca="false">0.606433+1336.855225*K7 - INT(0.606433+1336.855225*K7)</f>
        <v>0.943162949073155</v>
      </c>
      <c r="N7" s="31" t="n">
        <f aca="false">22640*SIN(O7)-4586*SIN(O7-2*Q7)+2370*SIN(2*Q7)+769*SIN(2*O7)-668*SIN(P7)-412*SIN(2*R7)-212*SIN(2*O7-2*Q7)-206*SIN(O7+P7-2*Q7)+192*SIN(O7+2*Q7)-165*SIN(P7-2*Q7)-125*SIN(Q7)-110*SIN(O7+P7)+148*SIN(O7-P7)-55*SIN(2*R7-2*Q7)</f>
        <v>20379.3427324194</v>
      </c>
      <c r="O7" s="29" t="n">
        <f aca="false">2*PI()*(0.374897+1325.55241*K7 - INT(0.374897+1325.55241*K7))</f>
        <v>0.764146597914087</v>
      </c>
      <c r="P7" s="32" t="n">
        <f aca="false">2*PI()*(0.993133+99.997361*K7 - INT(0.993133+99.997361*K7))</f>
        <v>5.70045528220422</v>
      </c>
      <c r="Q7" s="32" t="n">
        <f aca="false">2*PI()*(0.827361+1236.853086*K7 - INT(0.827361+1236.853086*K7))</f>
        <v>1.56371798781831</v>
      </c>
      <c r="R7" s="32" t="n">
        <f aca="false">2*PI()*(0.259086+1342.227825*K7 - INT(0.259086+1342.227825*K7))</f>
        <v>5.19577070570558</v>
      </c>
      <c r="S7" s="32" t="n">
        <f aca="false">R7+(N7+412*SIN(2*R7)+541*SIN(P7))/206264.8062</f>
        <v>5.29148519288739</v>
      </c>
      <c r="T7" s="32" t="n">
        <f aca="false">R7-2*Q7</f>
        <v>2.06833473006897</v>
      </c>
      <c r="U7" s="24" t="n">
        <f aca="false">-526*SIN(T7)+44*SIN(O7+T7)-31*SIN(-O7+T7)-23*SIN(P7+T7)+11*SIN(-P7+T7)-25*SIN(-2*O7+R7)+21*SIN(-O7+R7)</f>
        <v>-504.110060513179</v>
      </c>
      <c r="V7" s="32" t="n">
        <f aca="false">2*PI()*(M7+N7/1296000-INT(M7+N7/1296000))</f>
        <v>6.02486942557959</v>
      </c>
      <c r="W7" s="31" t="n">
        <f aca="false">V7/$E$6</f>
        <v>345.199590203119</v>
      </c>
      <c r="X7" s="32" t="n">
        <f aca="false">(18520*SIN(S7)+U7)/206264.8062</f>
        <v>-0.0775923203161615</v>
      </c>
      <c r="Y7" s="32" t="n">
        <f aca="false">COS(X7)*COS(V7)</f>
        <v>0.963912613892283</v>
      </c>
      <c r="Z7" s="32" t="n">
        <f aca="false">COS(X7)*SIN(V7)</f>
        <v>-0.254684073561949</v>
      </c>
      <c r="AA7" s="32" t="n">
        <f aca="false">SIN(X7)</f>
        <v>-0.0775144854413498</v>
      </c>
      <c r="AB7" s="32" t="n">
        <f aca="false">COS($E$6*(23.4393-46.815*K7/3600))*Z7-SIN($E$6*(23.4393-46.815*K7/3600))*AA7</f>
        <v>-0.202843518007667</v>
      </c>
      <c r="AC7" s="32" t="n">
        <f aca="false">SIN($E$6*(23.4393-46.815*K7/3600))*Z7+COS($E$6*(23.4393-46.815*K7/3600))*AA7</f>
        <v>-0.17241513849317</v>
      </c>
      <c r="AD7" s="32" t="n">
        <f aca="false">SQRT(1-AC7*AC7)</f>
        <v>0.985024375342246</v>
      </c>
      <c r="AE7" s="31" t="n">
        <f aca="false">ATAN(AC7/AD7)/$E$6</f>
        <v>-9.92827009937895</v>
      </c>
      <c r="AF7" s="32" t="n">
        <f aca="false">IF(24*ATAN(AB7/(Y7+AD7))/PI()&gt;0,24*ATAN(AB7/(Y7+AD7))/PI(),24*ATAN(AB7/(Y7+AD7))/PI()+24)</f>
        <v>23.2077470595801</v>
      </c>
      <c r="AG7" s="31" t="n">
        <f aca="false">IF(L7-15*AF7&gt;0,L7-15*AF7,360+L7-15*AF7)</f>
        <v>134.322736554534</v>
      </c>
      <c r="AH7" s="29" t="n">
        <f aca="false">0.950724+0.051818*COS(O7)+0.009531*COS(2*Q7-O7)+0.007843*COS(2*Q7)+0.002824*COS(2*O7)+0.000857*COS(2*Q7+O7)+0.000533*COS(2*Q7-P7)*(1-0.002495*(J7-2415020)/36525)+0.000401*COS(2*Q7-P7-O7)*(1-0.002495*(J7-2415020)/36525)+0.00032*COS(O7-P7)*(1-0.002495*(J7-2415020)/36525)-0.000271*COS(Q7)</f>
        <v>0.972227843571864</v>
      </c>
      <c r="AI7" s="32" t="n">
        <f aca="false">ASIN(COS($E$6*$E$2)*COS($E$6*AE7)*COS($E$6*AG7)+SIN($E$6*$E$2)*SIN($E$6*AE7))/$E$6</f>
        <v>-35.06232075156</v>
      </c>
      <c r="AJ7" s="29" t="n">
        <f aca="false">ASIN((0.9983271+0.0016764*COS($E$6*2*$E$2))*COS($E$6*AI7)*SIN($E$6*AH7))/$E$6</f>
        <v>0.794219776188938</v>
      </c>
      <c r="AK7" s="29" t="n">
        <f aca="false">AI7-AJ7</f>
        <v>-35.8565405277489</v>
      </c>
      <c r="AL7" s="31" t="n">
        <f aca="false"> MOD(280.4664567 + 360007.6982779*K7/10 + 0.03032028*K7^2/100 + K7^3/49931000,360)</f>
        <v>249.944724609271</v>
      </c>
      <c r="AM7" s="29" t="n">
        <f aca="false"> AL7 + (1.9146 - 0.004817*K7 - 0.000014*K7^2)*SIN(P7)+ (0.019993 - 0.000101*K7)*SIN(2*P7)+ 0.00029*SIN(3*P7)</f>
        <v>248.873080472276</v>
      </c>
      <c r="AN7" s="29" t="n">
        <f aca="false">ACOS(COS(V7-$E$6*AM7)*COS(X7))/$E$6</f>
        <v>96.3073973063728</v>
      </c>
      <c r="AO7" s="24" t="n">
        <f aca="false">180 - AN7 -0.1468*(1-0.0549*SIN(P7))*SIN($E$6*AN7)/(1-0.0167*SIN($E$6*AM7))</f>
        <v>83.544588752005</v>
      </c>
      <c r="AP7" s="48" t="n">
        <f aca="false">SIN($E$6*AG7)</f>
        <v>0.71541552680281</v>
      </c>
      <c r="AQ7" s="48" t="n">
        <f aca="false">COS($E$6*AG7)*SIN($E$6*$E$2) - TAN($E$6*AE7)*COS($E$6*$E$2)</f>
        <v>-0.422723427180029</v>
      </c>
      <c r="AR7" s="48" t="n">
        <f aca="false">IF(OR(AND(AP7*AQ7&gt;0), AND(AP7&lt;0,AQ7&gt;0)), MOD(ATAN2(AQ7,AP7)/$E$6+360,360),  ATAN2(AQ7,AP7)/$E$6)</f>
        <v>120.577914315158</v>
      </c>
      <c r="AS7" s="20" t="n">
        <f aca="false"> 385000.56 + (-20905355*COS(O7) - 3699111*COS(2*Q7-O7) - 2955968*COS(2*Q7) - 569925*COS(2*O7) + (1-0.002516*K7)*48888*COS(P7) - 3149*COS(2*R7)  +246158*COS(2*Q7-2*O7) -(1-0.002516*K7)*152138*COS(2*Q7-P7-O7) -170733*COS(2*Q7+O7) -(1-0.002516*K7)*204586*COS(2*Q7-P7) -(1-0.002516*K7)*129620*COS(P7-O7)  + 108743*COS(Q7) +(1-0.002516*K7)*104755*COS(P7+O7) +10321*COS(2*Q7-2*R7) +79661*COS(O7-2*R7) -34782*COS(4*Q7-O7) -23210*COS(3*O7)  -21636*COS(4*Q7-2*O7) +(1-0.002516*K7)*24208*COS(2*Q7+P7-O7) +(1-0.002516*K7)*30824*COS(2*Q7+P7) -8379*COS(Q7-O7) -(1-0.002516*K7)*16675*COS(Q7+P7)  -(1-0.002516*K7)*12831*COS(2*Q7-P7+O7) -10445*COS(2*Q7+2*O7) -11650*COS(4*Q7) +14403*COS(2*Q7-3*O7) -(1-0.002516*K7)*7003*COS(P7-2*O7)  + (1-0.002516*K7)*10056*COS(2*Q7-P7-2*O7) +6322*COS(Q7+O7) -(1-0.002516*K7)*(1-0.002516*K7)*9884*COS(2*Q7-2*P7) +(1-0.002516*K7)*5751*COS(P7+2*O7) -(1-0.002516*K7)*(1-0.002516*K7)*4950*COS(2*Q7-2*P7-O7)  +4130*COS(2*Q7+O7-2*R7) -(1-0.002516*K7)*3958*COS(4*Q7-P7-O7) +3258*COS(3*Q7-O7) +(1-0.002516*K7)*2616*COS(2*Q7+P7+O7) -(1-0.002516*K7)*1897*COS(4*Q7-P7-2*O7)  -(1-0.002516*K7)*(1-0.002516*K7)*2117*COS(2*P7-O7) +(1-0.002516*K7)*(1-0.002516*K7)*2354*COS(2*Q7+2*P7-O7) -1423*COS(4*Q7+O7) -1117*COS(4*O7) -(1-0.002516*K7)*1571*COS(4*Q7-P7)  -1739*COS(Q7-2*O7) -4421*COS(2*O7-2*R7) +(1-0.002516*K7)*(1-0.002516*K7)*1165*COS(2*P7+O7) +8752*COS(2*Q7-O7-2*R7))/1000</f>
        <v>375905.911502753</v>
      </c>
      <c r="AT7" s="24" t="n">
        <f aca="false">60*ATAN(3476/AS7)/$E$6</f>
        <v>31.7879204229503</v>
      </c>
      <c r="AU7" s="28" t="n">
        <f aca="false">ATAN(0.99664719*TAN($E$6*input!$D$2))</f>
        <v>0.871010436227447</v>
      </c>
      <c r="AV7" s="28" t="n">
        <f aca="false">COS(AU7)</f>
        <v>0.644053912545846</v>
      </c>
      <c r="AW7" s="28" t="n">
        <f aca="false">0.99664719*SIN(AU7)</f>
        <v>0.762415269897027</v>
      </c>
      <c r="AX7" s="28" t="n">
        <f aca="false">6378.14/AS7</f>
        <v>0.0169673841374354</v>
      </c>
      <c r="AY7" s="31" t="n">
        <f aca="false">L7-15*AF7</f>
        <v>-225.677263445466</v>
      </c>
      <c r="AZ7" s="29" t="n">
        <f aca="false">COS($E$6*AE7)*SIN($E$6*AY7)</f>
        <v>0.704701732399081</v>
      </c>
      <c r="BA7" s="29" t="n">
        <f aca="false">COS($E$6*AE7)*COS($E$6*AY7)-AV7*AX7</f>
        <v>-0.699163689776068</v>
      </c>
      <c r="BB7" s="29" t="n">
        <f aca="false">SIN($E$6*AE7)-AW7*AX7</f>
        <v>-0.185351331249759</v>
      </c>
      <c r="BC7" s="45" t="n">
        <f aca="false">SQRT(AZ7^2+BA7^2+BB7^2)</f>
        <v>1.00984628173976</v>
      </c>
      <c r="BD7" s="20" t="n">
        <f aca="false">AS7*BC7</f>
        <v>379607.187015048</v>
      </c>
      <c r="BE7" s="30" t="str">
        <f aca="false">IF(OR(AND(BD7&gt;BD6,BD7&gt;BD8),AND(BD7&lt;BD6,BD7&lt;BD8)),BD7,"")</f>
        <v/>
      </c>
    </row>
    <row r="8" customFormat="false" ht="15" hidden="false" customHeight="false" outlineLevel="0" collapsed="false">
      <c r="A8" s="31" t="n">
        <v>3</v>
      </c>
      <c r="B8" s="30" t="n">
        <f aca="false">$B$2</f>
        <v>1</v>
      </c>
      <c r="C8" s="30" t="n">
        <f aca="false">C7</f>
        <v>12</v>
      </c>
      <c r="D8" s="30" t="n">
        <f aca="false">$D$2</f>
        <v>2022</v>
      </c>
      <c r="F8" s="38" t="n">
        <f aca="false">AK8</f>
        <v>-39.5640331296004</v>
      </c>
      <c r="G8" s="39" t="n">
        <f aca="false">F8+1.02/(TAN($E$6*(F8+10.3/(F8+5.11)))*60)</f>
        <v>-39.5843916160344</v>
      </c>
      <c r="H8" s="38" t="n">
        <f aca="false">100*(1+COS($E$6*AO8))/2</f>
        <v>55.8503885725108</v>
      </c>
      <c r="I8" s="38" t="n">
        <f aca="false">IF(AG8&gt;180, AR8-180,AR8+180)</f>
        <v>308.207761462934</v>
      </c>
      <c r="J8" s="31" t="n">
        <f aca="false">INT(365.25*IF(C8&gt;2,D8+4716,D8-1+4716))+INT(30.6001*IF(C8&gt;2,C8+1,C8+12+1))+B8+A8/24+2-INT(IF(C8&gt;2,D8,D8-1)/100)+INT(INT(IF(C8&gt;2,D8,D8-1)/100)/4)-1524.5</f>
        <v>2459914.625</v>
      </c>
      <c r="K8" s="47" t="n">
        <f aca="false">(J8-2451545)/36525</f>
        <v>0.229147843942505</v>
      </c>
      <c r="L8" s="31" t="n">
        <f aca="false">MOD(280.46061837+360.98564736629*(J8-2451545)+0.000387933*K8^2-K8^3/38710000+$E$4,360)</f>
        <v>129.959476824384</v>
      </c>
      <c r="M8" s="28" t="n">
        <f aca="false">0.606433+1336.855225*K8 - INT(0.606433+1336.855225*K8)</f>
        <v>0.943925472022613</v>
      </c>
      <c r="N8" s="31" t="n">
        <f aca="false">22640*SIN(O8)-4586*SIN(O8-2*Q8)+2370*SIN(2*Q8)+769*SIN(2*O8)-668*SIN(P8)-412*SIN(2*R8)-212*SIN(2*O8-2*Q8)-206*SIN(O8+P8-2*Q8)+192*SIN(O8+2*Q8)-165*SIN(P8-2*Q8)-125*SIN(Q8)-110*SIN(O8+P8)+148*SIN(O8-P8)-55*SIN(2*R8-2*Q8)</f>
        <v>20420.3813124846</v>
      </c>
      <c r="O8" s="29" t="n">
        <f aca="false">2*PI()*(0.374897+1325.55241*K8 - INT(0.374897+1325.55241*K8))</f>
        <v>0.768897163444924</v>
      </c>
      <c r="P8" s="32" t="n">
        <f aca="false">2*PI()*(0.993133+99.997361*K8 - INT(0.993133+99.997361*K8))</f>
        <v>5.70081365657912</v>
      </c>
      <c r="Q8" s="32" t="n">
        <f aca="false">2*PI()*(0.827361+1236.853086*K8 - INT(0.827361+1236.853086*K8))</f>
        <v>1.56815066931229</v>
      </c>
      <c r="R8" s="32" t="n">
        <f aca="false">2*PI()*(0.259086+1342.227825*K8 - INT(0.259086+1342.227825*K8))</f>
        <v>5.20058103322753</v>
      </c>
      <c r="S8" s="32" t="n">
        <f aca="false">R8+(N8+412*SIN(2*R8)+541*SIN(P8))/206264.8062</f>
        <v>5.29648442784706</v>
      </c>
      <c r="T8" s="32" t="n">
        <f aca="false">R8-2*Q8</f>
        <v>2.06427969460296</v>
      </c>
      <c r="U8" s="24" t="n">
        <f aca="false">-526*SIN(T8)+44*SIN(O8+T8)-31*SIN(-O8+T8)-23*SIN(P8+T8)+11*SIN(-P8+T8)-25*SIN(-2*O8+R8)+21*SIN(-O8+R8)</f>
        <v>-505.132062958742</v>
      </c>
      <c r="V8" s="32" t="n">
        <f aca="false">2*PI()*(M8+N8/1296000-INT(M8+N8/1296000))</f>
        <v>6.0298594592227</v>
      </c>
      <c r="W8" s="31" t="n">
        <f aca="false">V8/$E$6</f>
        <v>345.485498070498</v>
      </c>
      <c r="X8" s="32" t="n">
        <f aca="false">(18520*SIN(S8)+U8)/206264.8062</f>
        <v>-0.0773506856859555</v>
      </c>
      <c r="Y8" s="32" t="n">
        <f aca="false">COS(X8)*COS(V8)</f>
        <v>0.965189594035169</v>
      </c>
      <c r="Z8" s="32" t="n">
        <f aca="false">COS(X8)*SIN(V8)</f>
        <v>-0.249875653244063</v>
      </c>
      <c r="AA8" s="32" t="n">
        <f aca="false">SIN(X8)</f>
        <v>-0.0772735755745716</v>
      </c>
      <c r="AB8" s="32" t="n">
        <f aca="false">COS($E$6*(23.4393-46.815*K8/3600))*Z8-SIN($E$6*(23.4393-46.815*K8/3600))*AA8</f>
        <v>-0.198527596448495</v>
      </c>
      <c r="AC8" s="32" t="n">
        <f aca="false">SIN($E$6*(23.4393-46.815*K8/3600))*Z8+COS($E$6*(23.4393-46.815*K8/3600))*AA8</f>
        <v>-0.17028165201985</v>
      </c>
      <c r="AD8" s="32" t="n">
        <f aca="false">SQRT(1-AC8*AC8)</f>
        <v>0.985395432801163</v>
      </c>
      <c r="AE8" s="31" t="n">
        <f aca="false">ATAN(AC8/AD8)/$E$6</f>
        <v>-9.80419529837007</v>
      </c>
      <c r="AF8" s="32" t="n">
        <f aca="false">IF(24*ATAN(AB8/(Y8+AD8))/PI()&gt;0,24*ATAN(AB8/(Y8+AD8))/PI(),24*ATAN(AB8/(Y8+AD8))/PI()+24)</f>
        <v>23.2251378310606</v>
      </c>
      <c r="AG8" s="31" t="n">
        <f aca="false">IF(L8-15*AF8&gt;0,L8-15*AF8,360+L8-15*AF8)</f>
        <v>141.582409358476</v>
      </c>
      <c r="AH8" s="29" t="n">
        <f aca="false">0.950724+0.051818*COS(O8)+0.009531*COS(2*Q8-O8)+0.007843*COS(2*Q8)+0.002824*COS(2*O8)+0.000857*COS(2*Q8+O8)+0.000533*COS(2*Q8-P8)*(1-0.002495*(J8-2415020)/36525)+0.000401*COS(2*Q8-P8-O8)*(1-0.002495*(J8-2415020)/36525)+0.00032*COS(O8-P8)*(1-0.002495*(J8-2415020)/36525)-0.000271*COS(Q8)</f>
        <v>0.972012138015472</v>
      </c>
      <c r="AI8" s="32" t="n">
        <f aca="false">ASIN(COS($E$6*$E$2)*COS($E$6*AE8)*COS($E$6*AG8)+SIN($E$6*$E$2)*SIN($E$6*AE8))/$E$6</f>
        <v>-38.8080951735357</v>
      </c>
      <c r="AJ8" s="29" t="n">
        <f aca="false">ASIN((0.9983271+0.0016764*COS($E$6*2*$E$2))*COS($E$6*AI8)*SIN($E$6*AH8))/$E$6</f>
        <v>0.755937956064647</v>
      </c>
      <c r="AK8" s="29" t="n">
        <f aca="false">AI8-AJ8</f>
        <v>-39.5640331296004</v>
      </c>
      <c r="AL8" s="31" t="n">
        <f aca="false"> MOD(280.4664567 + 360007.6982779*K8/10 + 0.03032028*K8^2/100 + K8^3/49931000,360)</f>
        <v>249.965258929507</v>
      </c>
      <c r="AM8" s="29" t="n">
        <f aca="false"> AL8 + (1.9146 - 0.004817*K8 - 0.000014*K8^2)*SIN(P8)+ (0.019993 - 0.000101*K8)*SIN(2*P8)+ 0.00029*SIN(3*P8)</f>
        <v>248.89419302998</v>
      </c>
      <c r="AN8" s="29" t="n">
        <f aca="false">ACOS(COS(V8-$E$6*AM8)*COS(X8))/$E$6</f>
        <v>96.5715095472678</v>
      </c>
      <c r="AO8" s="24" t="n">
        <f aca="false">180 - AN8 -0.1468*(1-0.0549*SIN(P8))*SIN($E$6*AN8)/(1-0.0167*SIN($E$6*AM8))</f>
        <v>83.2805561801912</v>
      </c>
      <c r="AP8" s="48" t="n">
        <f aca="false">SIN($E$6*AG8)</f>
        <v>0.6213883563433</v>
      </c>
      <c r="AQ8" s="48" t="n">
        <f aca="false">COS($E$6*AG8)*SIN($E$6*$E$2) - TAN($E$6*AE8)*COS($E$6*$E$2)</f>
        <v>-0.489120733949878</v>
      </c>
      <c r="AR8" s="48" t="n">
        <f aca="false">IF(OR(AND(AP8*AQ8&gt;0), AND(AP8&lt;0,AQ8&gt;0)), MOD(ATAN2(AQ8,AP8)/$E$6+360,360),  ATAN2(AQ8,AP8)/$E$6)</f>
        <v>128.207761462934</v>
      </c>
      <c r="AS8" s="20" t="n">
        <f aca="false"> 385000.56 + (-20905355*COS(O8) - 3699111*COS(2*Q8-O8) - 2955968*COS(2*Q8) - 569925*COS(2*O8) + (1-0.002516*K8)*48888*COS(P8) - 3149*COS(2*R8)  +246158*COS(2*Q8-2*O8) -(1-0.002516*K8)*152138*COS(2*Q8-P8-O8) -170733*COS(2*Q8+O8) -(1-0.002516*K8)*204586*COS(2*Q8-P8) -(1-0.002516*K8)*129620*COS(P8-O8)  + 108743*COS(Q8) +(1-0.002516*K8)*104755*COS(P8+O8) +10321*COS(2*Q8-2*R8) +79661*COS(O8-2*R8) -34782*COS(4*Q8-O8) -23210*COS(3*O8)  -21636*COS(4*Q8-2*O8) +(1-0.002516*K8)*24208*COS(2*Q8+P8-O8) +(1-0.002516*K8)*30824*COS(2*Q8+P8) -8379*COS(Q8-O8) -(1-0.002516*K8)*16675*COS(Q8+P8)  -(1-0.002516*K8)*12831*COS(2*Q8-P8+O8) -10445*COS(2*Q8+2*O8) -11650*COS(4*Q8) +14403*COS(2*Q8-3*O8) -(1-0.002516*K8)*7003*COS(P8-2*O8)  + (1-0.002516*K8)*10056*COS(2*Q8-P8-2*O8) +6322*COS(Q8+O8) -(1-0.002516*K8)*(1-0.002516*K8)*9884*COS(2*Q8-2*P8) +(1-0.002516*K8)*5751*COS(P8+2*O8) -(1-0.002516*K8)*(1-0.002516*K8)*4950*COS(2*Q8-2*P8-O8)  +4130*COS(2*Q8+O8-2*R8) -(1-0.002516*K8)*3958*COS(4*Q8-P8-O8) +3258*COS(3*Q8-O8) +(1-0.002516*K8)*2616*COS(2*Q8+P8+O8) -(1-0.002516*K8)*1897*COS(4*Q8-P8-2*O8)  -(1-0.002516*K8)*(1-0.002516*K8)*2117*COS(2*P8-O8) +(1-0.002516*K8)*(1-0.002516*K8)*2354*COS(2*Q8+2*P8-O8) -1423*COS(4*Q8+O8) -1117*COS(4*O8) -(1-0.002516*K8)*1571*COS(4*Q8-P8)  -1739*COS(Q8-2*O8) -4421*COS(2*O8-2*R8) +(1-0.002516*K8)*(1-0.002516*K8)*1165*COS(2*P8+O8) +8752*COS(2*Q8-O8-2*R8))/1000</f>
        <v>375988.025521184</v>
      </c>
      <c r="AT8" s="24" t="n">
        <f aca="false">60*ATAN(3476/AS8)/$E$6</f>
        <v>31.7809784860513</v>
      </c>
      <c r="AU8" s="28" t="n">
        <f aca="false">ATAN(0.99664719*TAN($E$6*input!$D$2))</f>
        <v>0.871010436227447</v>
      </c>
      <c r="AV8" s="28" t="n">
        <f aca="false">COS(AU8)</f>
        <v>0.644053912545846</v>
      </c>
      <c r="AW8" s="28" t="n">
        <f aca="false">0.99664719*SIN(AU8)</f>
        <v>0.762415269897027</v>
      </c>
      <c r="AX8" s="28" t="n">
        <f aca="false">6378.14/AS8</f>
        <v>0.0169636785404503</v>
      </c>
      <c r="AY8" s="31" t="n">
        <f aca="false">L8-15*AF8</f>
        <v>-218.417590641524</v>
      </c>
      <c r="AZ8" s="29" t="n">
        <f aca="false">COS($E$6*AE8)*SIN($E$6*AY8)</f>
        <v>0.61231324833651</v>
      </c>
      <c r="BA8" s="29" t="n">
        <f aca="false">COS($E$6*AE8)*COS($E$6*AY8)-AV8*AX8</f>
        <v>-0.782985524375096</v>
      </c>
      <c r="BB8" s="29" t="n">
        <f aca="false">SIN($E$6*AE8)-AW8*AX8</f>
        <v>-0.183215019572714</v>
      </c>
      <c r="BC8" s="45" t="n">
        <f aca="false">SQRT(AZ8^2+BA8^2+BB8^2)</f>
        <v>1.01072329985332</v>
      </c>
      <c r="BD8" s="20" t="n">
        <f aca="false">AS8*BC8</f>
        <v>380019.857860105</v>
      </c>
      <c r="BE8" s="30" t="str">
        <f aca="false">IF(OR(AND(BD8&gt;BD7,BD8&gt;BD9),AND(BD8&lt;BD7,BD8&lt;BD9)),BD8,"")</f>
        <v/>
      </c>
    </row>
    <row r="9" customFormat="false" ht="15" hidden="false" customHeight="false" outlineLevel="0" collapsed="false">
      <c r="A9" s="31" t="n">
        <v>3.5</v>
      </c>
      <c r="B9" s="30" t="n">
        <f aca="false">$B$2</f>
        <v>1</v>
      </c>
      <c r="C9" s="30" t="n">
        <f aca="false">C8</f>
        <v>12</v>
      </c>
      <c r="D9" s="30" t="n">
        <f aca="false">$D$2</f>
        <v>2022</v>
      </c>
      <c r="E9" s="5" t="str">
        <f aca="false">IF(AND(MOD($D$2,4)=0,$D$2&lt;&gt;1700,$D$2&lt;&gt;1800,$D$2&lt;&gt;1900,$D$2&lt;&gt;2100,$D$2&lt;&gt;2200),"leap year","common year")</f>
        <v>common year</v>
      </c>
      <c r="F9" s="38" t="n">
        <f aca="false">AK9</f>
        <v>-42.8663516568886</v>
      </c>
      <c r="G9" s="39" t="n">
        <f aca="false">F9+1.02/(TAN($E$6*(F9+10.3/(F9+5.11)))*60)</f>
        <v>-42.8844933879603</v>
      </c>
      <c r="H9" s="38" t="n">
        <f aca="false">100*(1+COS($E$6*AO9))/2</f>
        <v>56.0790451078856</v>
      </c>
      <c r="I9" s="38" t="n">
        <f aca="false">IF(AG9&gt;180, AR9-180,AR9+180)</f>
        <v>316.535573601218</v>
      </c>
      <c r="J9" s="31" t="n">
        <f aca="false">INT(365.25*IF(C9&gt;2,D9+4716,D9-1+4716))+INT(30.6001*IF(C9&gt;2,C9+1,C9+12+1))+B9+A9/24+2-INT(IF(C9&gt;2,D9,D9-1)/100)+INT(INT(IF(C9&gt;2,D9,D9-1)/100)/4)-1524.5</f>
        <v>2459914.64583333</v>
      </c>
      <c r="K9" s="47" t="n">
        <f aca="false">(J9-2451545)/36525</f>
        <v>0.22914841432809</v>
      </c>
      <c r="L9" s="31" t="n">
        <f aca="false">MOD(280.46061837+360.98564736629*(J9-2451545)+0.000387933*K9^2-K9^3/38710000+$E$4,360)</f>
        <v>137.480011200532</v>
      </c>
      <c r="M9" s="28" t="n">
        <f aca="false">0.606433+1336.855225*K9 - INT(0.606433+1336.855225*K9)</f>
        <v>0.944687994972014</v>
      </c>
      <c r="N9" s="31" t="n">
        <f aca="false">22640*SIN(O9)-4586*SIN(O9-2*Q9)+2370*SIN(2*Q9)+769*SIN(2*O9)-668*SIN(P9)-412*SIN(2*R9)-212*SIN(2*O9-2*Q9)-206*SIN(O9+P9-2*Q9)+192*SIN(O9+2*Q9)-165*SIN(P9-2*Q9)-125*SIN(Q9)-110*SIN(O9+P9)+148*SIN(O9-P9)-55*SIN(2*R9-2*Q9)</f>
        <v>20460.9390425548</v>
      </c>
      <c r="O9" s="29" t="n">
        <f aca="false">2*PI()*(0.374897+1325.55241*K9 - INT(0.374897+1325.55241*K9))</f>
        <v>0.773647728975404</v>
      </c>
      <c r="P9" s="32" t="n">
        <f aca="false">2*PI()*(0.993133+99.997361*K9 - INT(0.993133+99.997361*K9))</f>
        <v>5.70117203095401</v>
      </c>
      <c r="Q9" s="32" t="n">
        <f aca="false">2*PI()*(0.827361+1236.853086*K9 - INT(0.827361+1236.853086*K9))</f>
        <v>1.57258335080591</v>
      </c>
      <c r="R9" s="32" t="n">
        <f aca="false">2*PI()*(0.259086+1342.227825*K9 - INT(0.259086+1342.227825*K9))</f>
        <v>5.20539136074948</v>
      </c>
      <c r="S9" s="32" t="n">
        <f aca="false">R9+(N9+412*SIN(2*R9)+541*SIN(P9))/206264.8062</f>
        <v>5.30148148493022</v>
      </c>
      <c r="T9" s="32" t="n">
        <f aca="false">R9-2*Q9</f>
        <v>2.06022465913767</v>
      </c>
      <c r="U9" s="24" t="n">
        <f aca="false">-526*SIN(T9)+44*SIN(O9+T9)-31*SIN(-O9+T9)-23*SIN(P9+T9)+11*SIN(-P9+T9)-25*SIN(-2*O9+R9)+21*SIN(-O9+R9)</f>
        <v>-506.144204084972</v>
      </c>
      <c r="V9" s="32" t="n">
        <f aca="false">2*PI()*(M9+N9/1296000-INT(M9+N9/1296000))</f>
        <v>6.03484716163889</v>
      </c>
      <c r="W9" s="31" t="n">
        <f aca="false">V9/$E$6</f>
        <v>345.771272368413</v>
      </c>
      <c r="X9" s="32" t="n">
        <f aca="false">(18520*SIN(S9)+U9)/206264.8062</f>
        <v>-0.0771072399270888</v>
      </c>
      <c r="Y9" s="32" t="n">
        <f aca="false">COS(X9)*COS(V9)</f>
        <v>0.966442094874937</v>
      </c>
      <c r="Z9" s="32" t="n">
        <f aca="false">COS(X9)*SIN(V9)</f>
        <v>-0.2450631032256</v>
      </c>
      <c r="AA9" s="32" t="n">
        <f aca="false">SIN(X9)</f>
        <v>-0.0770308554488537</v>
      </c>
      <c r="AB9" s="32" t="n">
        <f aca="false">COS($E$6*(23.4393-46.815*K9/3600))*Z9-SIN($E$6*(23.4393-46.815*K9/3600))*AA9</f>
        <v>-0.194208605870925</v>
      </c>
      <c r="AC9" s="32" t="n">
        <f aca="false">SIN($E$6*(23.4393-46.815*K9/3600))*Z9+COS($E$6*(23.4393-46.815*K9/3600))*AA9</f>
        <v>-0.168144862126129</v>
      </c>
      <c r="AD9" s="32" t="n">
        <f aca="false">SQRT(1-AC9*AC9)</f>
        <v>0.985762296570824</v>
      </c>
      <c r="AE9" s="31" t="n">
        <f aca="false">ATAN(AC9/AD9)/$E$6</f>
        <v>-9.67997490460242</v>
      </c>
      <c r="AF9" s="32" t="n">
        <f aca="false">IF(24*ATAN(AB9/(Y9+AD9))/PI()&gt;0,24*ATAN(AB9/(Y9+AD9))/PI(),24*ATAN(AB9/(Y9+AD9))/PI()+24)</f>
        <v>23.2425081219081</v>
      </c>
      <c r="AG9" s="31" t="n">
        <f aca="false">IF(L9-15*AF9&gt;0,L9-15*AF9,360+L9-15*AF9)</f>
        <v>148.842389371911</v>
      </c>
      <c r="AH9" s="29" t="n">
        <f aca="false">0.950724+0.051818*COS(O9)+0.009531*COS(2*Q9-O9)+0.007843*COS(2*Q9)+0.002824*COS(2*O9)+0.000857*COS(2*Q9+O9)+0.000533*COS(2*Q9-P9)*(1-0.002495*(J9-2415020)/36525)+0.000401*COS(2*Q9-P9-O9)*(1-0.002495*(J9-2415020)/36525)+0.00032*COS(O9-P9)*(1-0.002495*(J9-2415020)/36525)-0.000271*COS(Q9)</f>
        <v>0.971796466602099</v>
      </c>
      <c r="AI9" s="32" t="n">
        <f aca="false">ASIN(COS($E$6*$E$2)*COS($E$6*AE9)*COS($E$6*AG9)+SIN($E$6*$E$2)*SIN($E$6*AE9))/$E$6</f>
        <v>-42.1472706105119</v>
      </c>
      <c r="AJ9" s="29" t="n">
        <f aca="false">ASIN((0.9983271+0.0016764*COS($E$6*2*$E$2))*COS($E$6*AI9)*SIN($E$6*AH9))/$E$6</f>
        <v>0.719081046376674</v>
      </c>
      <c r="AK9" s="29" t="n">
        <f aca="false">AI9-AJ9</f>
        <v>-42.8663516568886</v>
      </c>
      <c r="AL9" s="31" t="n">
        <f aca="false"> MOD(280.4664567 + 360007.6982779*K9/10 + 0.03032028*K9^2/100 + K9^3/49931000,360)</f>
        <v>249.985793249738</v>
      </c>
      <c r="AM9" s="29" t="n">
        <f aca="false"> AL9 + (1.9146 - 0.004817*K9 - 0.000014*K9^2)*SIN(P9)+ (0.019993 - 0.000101*K9)*SIN(2*P9)+ 0.00029*SIN(3*P9)</f>
        <v>248.915305732599</v>
      </c>
      <c r="AN9" s="29" t="n">
        <f aca="false">ACOS(COS(V9-$E$6*AM9)*COS(X9))/$E$6</f>
        <v>96.8354982189355</v>
      </c>
      <c r="AO9" s="24" t="n">
        <f aca="false">180 - AN9 -0.1468*(1-0.0549*SIN(P9))*SIN($E$6*AN9)/(1-0.0167*SIN($E$6*AM9))</f>
        <v>83.0166502801727</v>
      </c>
      <c r="AP9" s="48" t="n">
        <f aca="false">SIN($E$6*AG9)</f>
        <v>0.517394040004488</v>
      </c>
      <c r="AQ9" s="48" t="n">
        <f aca="false">COS($E$6*AG9)*SIN($E$6*$E$2) - TAN($E$6*AE9)*COS($E$6*$E$2)</f>
        <v>-0.545897957339812</v>
      </c>
      <c r="AR9" s="48" t="n">
        <f aca="false">IF(OR(AND(AP9*AQ9&gt;0), AND(AP9&lt;0,AQ9&gt;0)), MOD(ATAN2(AQ9,AP9)/$E$6+360,360),  ATAN2(AQ9,AP9)/$E$6)</f>
        <v>136.535573601218</v>
      </c>
      <c r="AS9" s="20" t="n">
        <f aca="false"> 385000.56 + (-20905355*COS(O9) - 3699111*COS(2*Q9-O9) - 2955968*COS(2*Q9) - 569925*COS(2*O9) + (1-0.002516*K9)*48888*COS(P9) - 3149*COS(2*R9)  +246158*COS(2*Q9-2*O9) -(1-0.002516*K9)*152138*COS(2*Q9-P9-O9) -170733*COS(2*Q9+O9) -(1-0.002516*K9)*204586*COS(2*Q9-P9) -(1-0.002516*K9)*129620*COS(P9-O9)  + 108743*COS(Q9) +(1-0.002516*K9)*104755*COS(P9+O9) +10321*COS(2*Q9-2*R9) +79661*COS(O9-2*R9) -34782*COS(4*Q9-O9) -23210*COS(3*O9)  -21636*COS(4*Q9-2*O9) +(1-0.002516*K9)*24208*COS(2*Q9+P9-O9) +(1-0.002516*K9)*30824*COS(2*Q9+P9) -8379*COS(Q9-O9) -(1-0.002516*K9)*16675*COS(Q9+P9)  -(1-0.002516*K9)*12831*COS(2*Q9-P9+O9) -10445*COS(2*Q9+2*O9) -11650*COS(4*Q9) +14403*COS(2*Q9-3*O9) -(1-0.002516*K9)*7003*COS(P9-2*O9)  + (1-0.002516*K9)*10056*COS(2*Q9-P9-2*O9) +6322*COS(Q9+O9) -(1-0.002516*K9)*(1-0.002516*K9)*9884*COS(2*Q9-2*P9) +(1-0.002516*K9)*5751*COS(P9+2*O9) -(1-0.002516*K9)*(1-0.002516*K9)*4950*COS(2*Q9-2*P9-O9)  +4130*COS(2*Q9+O9-2*R9) -(1-0.002516*K9)*3958*COS(4*Q9-P9-O9) +3258*COS(3*Q9-O9) +(1-0.002516*K9)*2616*COS(2*Q9+P9+O9) -(1-0.002516*K9)*1897*COS(4*Q9-P9-2*O9)  -(1-0.002516*K9)*(1-0.002516*K9)*2117*COS(2*P9-O9) +(1-0.002516*K9)*(1-0.002516*K9)*2354*COS(2*Q9+2*P9-O9) -1423*COS(4*Q9+O9) -1117*COS(4*O9) -(1-0.002516*K9)*1571*COS(4*Q9-P9)  -1739*COS(Q9-2*O9) -4421*COS(2*O9-2*R9) +(1-0.002516*K9)*(1-0.002516*K9)*1165*COS(2*P9+O9) +8752*COS(2*Q9-O9-2*R9))/1000</f>
        <v>376070.172907388</v>
      </c>
      <c r="AT9" s="24" t="n">
        <f aca="false">60*ATAN(3476/AS9)/$E$6</f>
        <v>31.7740367613332</v>
      </c>
      <c r="AU9" s="28" t="n">
        <f aca="false">ATAN(0.99664719*TAN($E$6*input!$D$2))</f>
        <v>0.871010436227447</v>
      </c>
      <c r="AV9" s="28" t="n">
        <f aca="false">COS(AU9)</f>
        <v>0.644053912545846</v>
      </c>
      <c r="AW9" s="28" t="n">
        <f aca="false">0.99664719*SIN(AU9)</f>
        <v>0.762415269897027</v>
      </c>
      <c r="AX9" s="28" t="n">
        <f aca="false">6378.14/AS9</f>
        <v>0.0169599730568654</v>
      </c>
      <c r="AY9" s="31" t="n">
        <f aca="false">L9-15*AF9</f>
        <v>-211.157610628089</v>
      </c>
      <c r="AZ9" s="29" t="n">
        <f aca="false">COS($E$6*AE9)*SIN($E$6*AY9)</f>
        <v>0.510027537106881</v>
      </c>
      <c r="BA9" s="29" t="n">
        <f aca="false">COS($E$6*AE9)*COS($E$6*AY9)-AV9*AX9</f>
        <v>-0.854486541101869</v>
      </c>
      <c r="BB9" s="29" t="n">
        <f aca="false">SIN($E$6*AE9)-AW9*AX9</f>
        <v>-0.181075404561725</v>
      </c>
      <c r="BC9" s="45" t="n">
        <f aca="false">SQRT(AZ9^2+BA9^2+BB9^2)</f>
        <v>1.0114660842899</v>
      </c>
      <c r="BD9" s="20" t="n">
        <f aca="false">AS9*BC9</f>
        <v>380382.22520886</v>
      </c>
      <c r="BE9" s="30" t="str">
        <f aca="false">IF(OR(AND(BD9&gt;BD8,BD9&gt;BD10),AND(BD9&lt;BD8,BD9&lt;BD10)),BD9,"")</f>
        <v/>
      </c>
    </row>
    <row r="10" customFormat="false" ht="15" hidden="false" customHeight="false" outlineLevel="0" collapsed="false">
      <c r="A10" s="31" t="n">
        <v>4</v>
      </c>
      <c r="B10" s="30" t="n">
        <f aca="false">$B$2</f>
        <v>1</v>
      </c>
      <c r="C10" s="30" t="n">
        <f aca="false">C9</f>
        <v>12</v>
      </c>
      <c r="D10" s="30" t="n">
        <f aca="false">$D$2</f>
        <v>2022</v>
      </c>
      <c r="F10" s="38" t="n">
        <f aca="false">AK10</f>
        <v>-45.6527844421703</v>
      </c>
      <c r="G10" s="39" t="n">
        <f aca="false">F10+1.02/(TAN($E$6*(F10+10.3/(F10+5.11)))*60)</f>
        <v>-45.6692546550902</v>
      </c>
      <c r="H10" s="38" t="n">
        <f aca="false">100*(1+COS($E$6*AO10))/2</f>
        <v>56.3074631268704</v>
      </c>
      <c r="I10" s="38" t="n">
        <f aca="false">IF(AG10&gt;180, AR10-180,AR10+180)</f>
        <v>325.624108821059</v>
      </c>
      <c r="J10" s="31" t="n">
        <f aca="false">INT(365.25*IF(C10&gt;2,D10+4716,D10-1+4716))+INT(30.6001*IF(C10&gt;2,C10+1,C10+12+1))+B10+A10/24+2-INT(IF(C10&gt;2,D10,D10-1)/100)+INT(INT(IF(C10&gt;2,D10,D10-1)/100)/4)-1524.5</f>
        <v>2459914.66666667</v>
      </c>
      <c r="K10" s="47" t="n">
        <f aca="false">(J10-2451545)/36525</f>
        <v>0.229148984713662</v>
      </c>
      <c r="L10" s="31" t="n">
        <f aca="false">MOD(280.46061837+360.98564736629*(J10-2451545)+0.000387933*K10^2-K10^3/38710000+$E$4,360)</f>
        <v>145.000545408577</v>
      </c>
      <c r="M10" s="28" t="n">
        <f aca="false">0.606433+1336.855225*K10 - INT(0.606433+1336.855225*K10)</f>
        <v>0.945450517904419</v>
      </c>
      <c r="N10" s="31" t="n">
        <f aca="false">22640*SIN(O10)-4586*SIN(O10-2*Q10)+2370*SIN(2*Q10)+769*SIN(2*O10)-668*SIN(P10)-412*SIN(2*R10)-212*SIN(2*O10-2*Q10)-206*SIN(O10+P10-2*Q10)+192*SIN(O10+2*Q10)-165*SIN(P10-2*Q10)-125*SIN(Q10)-110*SIN(O10+P10)+148*SIN(O10-P10)-55*SIN(2*R10-2*Q10)</f>
        <v>20501.0162941315</v>
      </c>
      <c r="O10" s="29" t="n">
        <f aca="false">2*PI()*(0.374897+1325.55241*K10 - INT(0.374897+1325.55241*K10))</f>
        <v>0.778398294399808</v>
      </c>
      <c r="P10" s="32" t="n">
        <f aca="false">2*PI()*(0.993133+99.997361*K10 - INT(0.993133+99.997361*K10))</f>
        <v>5.70153040532089</v>
      </c>
      <c r="Q10" s="32" t="n">
        <f aca="false">2*PI()*(0.827361+1236.853086*K10 - INT(0.827361+1236.853086*K10))</f>
        <v>1.57701603220059</v>
      </c>
      <c r="R10" s="32" t="n">
        <f aca="false">2*PI()*(0.259086+1342.227825*K10 - INT(0.259086+1342.227825*K10))</f>
        <v>5.21020168816393</v>
      </c>
      <c r="S10" s="32" t="n">
        <f aca="false">R10+(N10+412*SIN(2*R10)+541*SIN(P10))/206264.8062</f>
        <v>5.30647636681952</v>
      </c>
      <c r="T10" s="32" t="n">
        <f aca="false">R10-2*Q10</f>
        <v>2.05616962376274</v>
      </c>
      <c r="U10" s="24" t="n">
        <f aca="false">-526*SIN(T10)+44*SIN(O10+T10)-31*SIN(-O10+T10)-23*SIN(P10+T10)+11*SIN(-P10+T10)-25*SIN(-2*O10+R10)+21*SIN(-O10+R10)</f>
        <v>-507.146471845762</v>
      </c>
      <c r="V10" s="32" t="n">
        <f aca="false">2*PI()*(M10+N10/1296000-INT(M10+N10/1296000))</f>
        <v>6.03983253452282</v>
      </c>
      <c r="W10" s="31" t="n">
        <f aca="false">V10/$E$6</f>
        <v>346.056913193961</v>
      </c>
      <c r="X10" s="32" t="n">
        <f aca="false">(18520*SIN(S10)+U10)/206264.8062</f>
        <v>-0.0768619914892252</v>
      </c>
      <c r="Y10" s="32" t="n">
        <f aca="false">COS(X10)*COS(V10)</f>
        <v>0.967670116803237</v>
      </c>
      <c r="Z10" s="32" t="n">
        <f aca="false">COS(X10)*SIN(V10)</f>
        <v>-0.240246548463871</v>
      </c>
      <c r="AA10" s="32" t="n">
        <f aca="false">SIN(X10)</f>
        <v>-0.076786333401247</v>
      </c>
      <c r="AB10" s="32" t="n">
        <f aca="false">COS($E$6*(23.4393-46.815*K10/3600))*Z10-SIN($E$6*(23.4393-46.815*K10/3600))*AA10</f>
        <v>-0.189886657607731</v>
      </c>
      <c r="AC10" s="32" t="n">
        <f aca="false">SIN($E$6*(23.4393-46.815*K10/3600))*Z10+COS($E$6*(23.4393-46.815*K10/3600))*AA10</f>
        <v>-0.166004826160491</v>
      </c>
      <c r="AD10" s="32" t="n">
        <f aca="false">SQRT(1-AC10*AC10)</f>
        <v>0.986124940203535</v>
      </c>
      <c r="AE10" s="31" t="n">
        <f aca="false">ATAN(AC10/AD10)/$E$6</f>
        <v>-9.55561182905612</v>
      </c>
      <c r="AF10" s="32" t="n">
        <f aca="false">IF(24*ATAN(AB10/(Y10+AD10))/PI()&gt;0,24*ATAN(AB10/(Y10+AD10))/PI(),24*ATAN(AB10/(Y10+AD10))/PI()+24)</f>
        <v>23.2598581140171</v>
      </c>
      <c r="AG10" s="31" t="n">
        <f aca="false">IF(L10-15*AF10&gt;0,L10-15*AF10,360+L10-15*AF10)</f>
        <v>156.102673698321</v>
      </c>
      <c r="AH10" s="29" t="n">
        <f aca="false">0.950724+0.051818*COS(O10)+0.009531*COS(2*Q10-O10)+0.007843*COS(2*Q10)+0.002824*COS(2*O10)+0.000857*COS(2*Q10+O10)+0.000533*COS(2*Q10-P10)*(1-0.002495*(J10-2415020)/36525)+0.000401*COS(2*Q10-P10-O10)*(1-0.002495*(J10-2415020)/36525)+0.00032*COS(O10-P10)*(1-0.002495*(J10-2415020)/36525)-0.000271*COS(Q10)</f>
        <v>0.971580834418554</v>
      </c>
      <c r="AI10" s="32" t="n">
        <f aca="false">ASIN(COS($E$6*$E$2)*COS($E$6*AE10)*COS($E$6*AG10)+SIN($E$6*$E$2)*SIN($E$6*AE10))/$E$6</f>
        <v>-44.9667409268665</v>
      </c>
      <c r="AJ10" s="29" t="n">
        <f aca="false">ASIN((0.9983271+0.0016764*COS($E$6*2*$E$2))*COS($E$6*AI10)*SIN($E$6*AH10))/$E$6</f>
        <v>0.686043515303764</v>
      </c>
      <c r="AK10" s="29" t="n">
        <f aca="false">AI10-AJ10</f>
        <v>-45.6527844421703</v>
      </c>
      <c r="AL10" s="31" t="n">
        <f aca="false"> MOD(280.4664567 + 360007.6982779*K10/10 + 0.03032028*K10^2/100 + K10^3/49931000,360)</f>
        <v>250.006327569516</v>
      </c>
      <c r="AM10" s="29" t="n">
        <f aca="false"> AL10 + (1.9146 - 0.004817*K10 - 0.000014*K10^2)*SIN(P10)+ (0.019993 - 0.000101*K10)*SIN(2*P10)+ 0.00029*SIN(3*P10)</f>
        <v>248.936418579594</v>
      </c>
      <c r="AN10" s="29" t="n">
        <f aca="false">ACOS(COS(V10-$E$6*AM10)*COS(X10))/$E$6</f>
        <v>97.09936344469</v>
      </c>
      <c r="AO10" s="24" t="n">
        <f aca="false">180 - AN10 -0.1468*(1-0.0549*SIN(P10))*SIN($E$6*AN10)/(1-0.0167*SIN($E$6*AM10))</f>
        <v>82.7528709223967</v>
      </c>
      <c r="AP10" s="48" t="n">
        <f aca="false">SIN($E$6*AG10)</f>
        <v>0.405098922825222</v>
      </c>
      <c r="AQ10" s="48" t="n">
        <f aca="false">COS($E$6*AG10)*SIN($E$6*$E$2) - TAN($E$6*AE10)*COS($E$6*$E$2)</f>
        <v>-0.592166416827196</v>
      </c>
      <c r="AR10" s="48" t="n">
        <f aca="false">IF(OR(AND(AP10*AQ10&gt;0), AND(AP10&lt;0,AQ10&gt;0)), MOD(ATAN2(AQ10,AP10)/$E$6+360,360),  ATAN2(AQ10,AP10)/$E$6)</f>
        <v>145.624108821059</v>
      </c>
      <c r="AS10" s="20" t="n">
        <f aca="false"> 385000.56 + (-20905355*COS(O10) - 3699111*COS(2*Q10-O10) - 2955968*COS(2*Q10) - 569925*COS(2*O10) + (1-0.002516*K10)*48888*COS(P10) - 3149*COS(2*R10)  +246158*COS(2*Q10-2*O10) -(1-0.002516*K10)*152138*COS(2*Q10-P10-O10) -170733*COS(2*Q10+O10) -(1-0.002516*K10)*204586*COS(2*Q10-P10) -(1-0.002516*K10)*129620*COS(P10-O10)  + 108743*COS(Q10) +(1-0.002516*K10)*104755*COS(P10+O10) +10321*COS(2*Q10-2*R10) +79661*COS(O10-2*R10) -34782*COS(4*Q10-O10) -23210*COS(3*O10)  -21636*COS(4*Q10-2*O10) +(1-0.002516*K10)*24208*COS(2*Q10+P10-O10) +(1-0.002516*K10)*30824*COS(2*Q10+P10) -8379*COS(Q10-O10) -(1-0.002516*K10)*16675*COS(Q10+P10)  -(1-0.002516*K10)*12831*COS(2*Q10-P10+O10) -10445*COS(2*Q10+2*O10) -11650*COS(4*Q10) +14403*COS(2*Q10-3*O10) -(1-0.002516*K10)*7003*COS(P10-2*O10)  + (1-0.002516*K10)*10056*COS(2*Q10-P10-2*O10) +6322*COS(Q10+O10) -(1-0.002516*K10)*(1-0.002516*K10)*9884*COS(2*Q10-2*P10) +(1-0.002516*K10)*5751*COS(P10+2*O10) -(1-0.002516*K10)*(1-0.002516*K10)*4950*COS(2*Q10-2*P10-O10)  +4130*COS(2*Q10+O10-2*R10) -(1-0.002516*K10)*3958*COS(4*Q10-P10-O10) +3258*COS(3*Q10-O10) +(1-0.002516*K10)*2616*COS(2*Q10+P10+O10) -(1-0.002516*K10)*1897*COS(4*Q10-P10-2*O10)  -(1-0.002516*K10)*(1-0.002516*K10)*2117*COS(2*P10-O10) +(1-0.002516*K10)*(1-0.002516*K10)*2354*COS(2*Q10+2*P10-O10) -1423*COS(4*Q10+O10) -1117*COS(4*O10) -(1-0.002516*K10)*1571*COS(4*Q10-P10)  -1739*COS(Q10-2*O10) -4421*COS(2*O10-2*R10) +(1-0.002516*K10)*(1-0.002516*K10)*1165*COS(2*P10+O10) +8752*COS(2*Q10-O10-2*R10))/1000</f>
        <v>376152.351911617</v>
      </c>
      <c r="AT10" s="24" t="n">
        <f aca="false">60*ATAN(3476/AS10)/$E$6</f>
        <v>31.7670953982663</v>
      </c>
      <c r="AU10" s="28" t="n">
        <f aca="false">ATAN(0.99664719*TAN($E$6*input!$D$2))</f>
        <v>0.871010436227447</v>
      </c>
      <c r="AV10" s="28" t="n">
        <f aca="false">COS(AU10)</f>
        <v>0.644053912545846</v>
      </c>
      <c r="AW10" s="28" t="n">
        <f aca="false">0.99664719*SIN(AU10)</f>
        <v>0.762415269897027</v>
      </c>
      <c r="AX10" s="28" t="n">
        <f aca="false">6378.14/AS10</f>
        <v>0.0169562677664678</v>
      </c>
      <c r="AY10" s="31" t="n">
        <f aca="false">L10-15*AF10</f>
        <v>-203.897326301679</v>
      </c>
      <c r="AZ10" s="29" t="n">
        <f aca="false">COS($E$6*AE10)*SIN($E$6*AY10)</f>
        <v>0.399478151047538</v>
      </c>
      <c r="BA10" s="29" t="n">
        <f aca="false">COS($E$6*AE10)*COS($E$6*AY10)-AV10*AX10</f>
        <v>-0.91250802009861</v>
      </c>
      <c r="BB10" s="29" t="n">
        <f aca="false">SIN($E$6*AE10)-AW10*AX10</f>
        <v>-0.178932543626109</v>
      </c>
      <c r="BC10" s="45" t="n">
        <f aca="false">SQRT(AZ10^2+BA10^2+BB10^2)</f>
        <v>1.01206251539969</v>
      </c>
      <c r="BD10" s="20" t="n">
        <f aca="false">AS10*BC10</f>
        <v>380689.695449182</v>
      </c>
      <c r="BE10" s="30" t="str">
        <f aca="false">IF(OR(AND(BD10&gt;BD9,BD10&gt;BD11),AND(BD10&lt;BD9,BD10&lt;BD11)),BD10,"")</f>
        <v/>
      </c>
    </row>
    <row r="11" customFormat="false" ht="15" hidden="false" customHeight="false" outlineLevel="0" collapsed="false">
      <c r="A11" s="31" t="n">
        <v>4.5</v>
      </c>
      <c r="B11" s="30" t="n">
        <f aca="false">$B$2</f>
        <v>1</v>
      </c>
      <c r="C11" s="30" t="n">
        <f aca="false">C10</f>
        <v>12</v>
      </c>
      <c r="D11" s="30" t="n">
        <f aca="false">$D$2</f>
        <v>2022</v>
      </c>
      <c r="F11" s="38" t="n">
        <f aca="false">AK11</f>
        <v>-47.8046305898043</v>
      </c>
      <c r="G11" s="39" t="n">
        <f aca="false">F11+1.02/(TAN($E$6*(F11+10.3/(F11+5.11)))*60)</f>
        <v>-47.8199128277983</v>
      </c>
      <c r="H11" s="38" t="n">
        <f aca="false">100*(1+COS($E$6*AO11))/2</f>
        <v>56.5356381064685</v>
      </c>
      <c r="I11" s="38" t="n">
        <f aca="false">IF(AG11&gt;180, AR11-180,AR11+180)</f>
        <v>335.464559294186</v>
      </c>
      <c r="J11" s="31" t="n">
        <f aca="false">INT(365.25*IF(C11&gt;2,D11+4716,D11-1+4716))+INT(30.6001*IF(C11&gt;2,C11+1,C11+12+1))+B11+A11/24+2-INT(IF(C11&gt;2,D11,D11-1)/100)+INT(INT(IF(C11&gt;2,D11,D11-1)/100)/4)-1524.5</f>
        <v>2459914.6875</v>
      </c>
      <c r="K11" s="47" t="n">
        <f aca="false">(J11-2451545)/36525</f>
        <v>0.229149555099247</v>
      </c>
      <c r="L11" s="31" t="n">
        <f aca="false">MOD(280.46061837+360.98564736629*(J11-2451545)+0.000387933*K11^2-K11^3/38710000+$E$4,360)</f>
        <v>152.521079785191</v>
      </c>
      <c r="M11" s="28" t="n">
        <f aca="false">0.606433+1336.855225*K11 - INT(0.606433+1336.855225*K11)</f>
        <v>0.94621304085382</v>
      </c>
      <c r="N11" s="31" t="n">
        <f aca="false">22640*SIN(O11)-4586*SIN(O11-2*Q11)+2370*SIN(2*Q11)+769*SIN(2*O11)-668*SIN(P11)-412*SIN(2*R11)-212*SIN(2*O11-2*Q11)-206*SIN(O11+P11-2*Q11)+192*SIN(O11+2*Q11)-165*SIN(P11-2*Q11)-125*SIN(Q11)-110*SIN(O11+P11)+148*SIN(O11-P11)-55*SIN(2*R11-2*Q11)</f>
        <v>20540.6134544184</v>
      </c>
      <c r="O11" s="29" t="n">
        <f aca="false">2*PI()*(0.374897+1325.55241*K11 - INT(0.374897+1325.55241*K11))</f>
        <v>0.783148859930645</v>
      </c>
      <c r="P11" s="32" t="n">
        <f aca="false">2*PI()*(0.993133+99.997361*K11 - INT(0.993133+99.997361*K11))</f>
        <v>5.70188877969579</v>
      </c>
      <c r="Q11" s="32" t="n">
        <f aca="false">2*PI()*(0.827361+1236.853086*K11 - INT(0.827361+1236.853086*K11))</f>
        <v>1.58144871369457</v>
      </c>
      <c r="R11" s="32" t="n">
        <f aca="false">2*PI()*(0.259086+1342.227825*K11 - INT(0.259086+1342.227825*K11))</f>
        <v>5.21501201568623</v>
      </c>
      <c r="S11" s="32" t="n">
        <f aca="false">R11+(N11+412*SIN(2*R11)+541*SIN(P11))/206264.8062</f>
        <v>5.31146907658172</v>
      </c>
      <c r="T11" s="32" t="n">
        <f aca="false">R11-2*Q11</f>
        <v>2.0521145882971</v>
      </c>
      <c r="U11" s="24" t="n">
        <f aca="false">-526*SIN(T11)+44*SIN(O11+T11)-31*SIN(-O11+T11)-23*SIN(P11+T11)+11*SIN(-P11+T11)-25*SIN(-2*O11+R11)+21*SIN(-O11+R11)</f>
        <v>-508.138854562574</v>
      </c>
      <c r="V11" s="32" t="n">
        <f aca="false">2*PI()*(M11+N11/1296000-INT(M11+N11/1296000))</f>
        <v>6.04481557996529</v>
      </c>
      <c r="W11" s="31" t="n">
        <f aca="false">V11/$E$6</f>
        <v>346.342420666936</v>
      </c>
      <c r="X11" s="32" t="n">
        <f aca="false">(18520*SIN(S11)+U11)/206264.8062</f>
        <v>-0.0766149488295606</v>
      </c>
      <c r="Y11" s="32" t="n">
        <f aca="false">COS(X11)*COS(V11)</f>
        <v>0.968873660916126</v>
      </c>
      <c r="Z11" s="32" t="n">
        <f aca="false">COS(X11)*SIN(V11)</f>
        <v>-0.235426113381044</v>
      </c>
      <c r="AA11" s="32" t="n">
        <f aca="false">SIN(X11)</f>
        <v>-0.076540017776842</v>
      </c>
      <c r="AB11" s="32" t="n">
        <f aca="false">COS($E$6*(23.4393-46.815*K11/3600))*Z11-SIN($E$6*(23.4393-46.815*K11/3600))*AA11</f>
        <v>-0.185561862497496</v>
      </c>
      <c r="AC11" s="32" t="n">
        <f aca="false">SIN($E$6*(23.4393-46.815*K11/3600))*Z11+COS($E$6*(23.4393-46.815*K11/3600))*AA11</f>
        <v>-0.163861601265959</v>
      </c>
      <c r="AD11" s="32" t="n">
        <f aca="false">SQRT(1-AC11*AC11)</f>
        <v>0.986483337735897</v>
      </c>
      <c r="AE11" s="31" t="n">
        <f aca="false">ATAN(AC11/AD11)/$E$6</f>
        <v>-9.43110896241214</v>
      </c>
      <c r="AF11" s="32" t="n">
        <f aca="false">IF(24*ATAN(AB11/(Y11+AD11))/PI()&gt;0,24*ATAN(AB11/(Y11+AD11))/PI(),24*ATAN(AB11/(Y11+AD11))/PI()+24)</f>
        <v>23.2771879907663</v>
      </c>
      <c r="AG11" s="31" t="n">
        <f aca="false">IF(L11-15*AF11&gt;0,L11-15*AF11,360+L11-15*AF11)</f>
        <v>163.363259923696</v>
      </c>
      <c r="AH11" s="29" t="n">
        <f aca="false">0.950724+0.051818*COS(O11)+0.009531*COS(2*Q11-O11)+0.007843*COS(2*Q11)+0.002824*COS(2*O11)+0.000857*COS(2*Q11+O11)+0.000533*COS(2*Q11-P11)*(1-0.002495*(J11-2415020)/36525)+0.000401*COS(2*Q11-P11-O11)*(1-0.002495*(J11-2415020)/36525)+0.00032*COS(O11-P11)*(1-0.002495*(J11-2415020)/36525)-0.000271*COS(Q11)</f>
        <v>0.971365246482849</v>
      </c>
      <c r="AI11" s="32" t="n">
        <f aca="false">ASIN(COS($E$6*$E$2)*COS($E$6*AE11)*COS($E$6*AG11)+SIN($E$6*$E$2)*SIN($E$6*AE11))/$E$6</f>
        <v>-47.1452791145147</v>
      </c>
      <c r="AJ11" s="29" t="n">
        <f aca="false">ASIN((0.9983271+0.0016764*COS($E$6*2*$E$2))*COS($E$6*AI11)*SIN($E$6*AH11))/$E$6</f>
        <v>0.659351475289605</v>
      </c>
      <c r="AK11" s="29" t="n">
        <f aca="false">AI11-AJ11</f>
        <v>-47.8046305898043</v>
      </c>
      <c r="AL11" s="31" t="n">
        <f aca="false"> MOD(280.4664567 + 360007.6982779*K11/10 + 0.03032028*K11^2/100 + K11^3/49931000,360)</f>
        <v>250.02686188975</v>
      </c>
      <c r="AM11" s="29" t="n">
        <f aca="false"> AL11 + (1.9146 - 0.004817*K11 - 0.000014*K11^2)*SIN(P11)+ (0.019993 - 0.000101*K11)*SIN(2*P11)+ 0.00029*SIN(3*P11)</f>
        <v>248.957531571826</v>
      </c>
      <c r="AN11" s="29" t="n">
        <f aca="false">ACOS(COS(V11-$E$6*AM11)*COS(X11))/$E$6</f>
        <v>97.3631053678484</v>
      </c>
      <c r="AO11" s="24" t="n">
        <f aca="false">180 - AN11 -0.1468*(1-0.0549*SIN(P11))*SIN($E$6*AN11)/(1-0.0167*SIN($E$6*AM11))</f>
        <v>82.4892179572605</v>
      </c>
      <c r="AP11" s="48" t="n">
        <f aca="false">SIN($E$6*AG11)</f>
        <v>0.28630281889032</v>
      </c>
      <c r="AQ11" s="48" t="n">
        <f aca="false">COS($E$6*AG11)*SIN($E$6*$E$2) - TAN($E$6*AE11)*COS($E$6*$E$2)</f>
        <v>-0.627205797679725</v>
      </c>
      <c r="AR11" s="48" t="n">
        <f aca="false">IF(OR(AND(AP11*AQ11&gt;0), AND(AP11&lt;0,AQ11&gt;0)), MOD(ATAN2(AQ11,AP11)/$E$6+360,360),  ATAN2(AQ11,AP11)/$E$6)</f>
        <v>155.464559294186</v>
      </c>
      <c r="AS11" s="20" t="n">
        <f aca="false"> 385000.56 + (-20905355*COS(O11) - 3699111*COS(2*Q11-O11) - 2955968*COS(2*Q11) - 569925*COS(2*O11) + (1-0.002516*K11)*48888*COS(P11) - 3149*COS(2*R11)  +246158*COS(2*Q11-2*O11) -(1-0.002516*K11)*152138*COS(2*Q11-P11-O11) -170733*COS(2*Q11+O11) -(1-0.002516*K11)*204586*COS(2*Q11-P11) -(1-0.002516*K11)*129620*COS(P11-O11)  + 108743*COS(Q11) +(1-0.002516*K11)*104755*COS(P11+O11) +10321*COS(2*Q11-2*R11) +79661*COS(O11-2*R11) -34782*COS(4*Q11-O11) -23210*COS(3*O11)  -21636*COS(4*Q11-2*O11) +(1-0.002516*K11)*24208*COS(2*Q11+P11-O11) +(1-0.002516*K11)*30824*COS(2*Q11+P11) -8379*COS(Q11-O11) -(1-0.002516*K11)*16675*COS(Q11+P11)  -(1-0.002516*K11)*12831*COS(2*Q11-P11+O11) -10445*COS(2*Q11+2*O11) -11650*COS(4*Q11) +14403*COS(2*Q11-3*O11) -(1-0.002516*K11)*7003*COS(P11-2*O11)  + (1-0.002516*K11)*10056*COS(2*Q11-P11-2*O11) +6322*COS(Q11+O11) -(1-0.002516*K11)*(1-0.002516*K11)*9884*COS(2*Q11-2*P11) +(1-0.002516*K11)*5751*COS(P11+2*O11) -(1-0.002516*K11)*(1-0.002516*K11)*4950*COS(2*Q11-2*P11-O11)  +4130*COS(2*Q11+O11-2*R11) -(1-0.002516*K11)*3958*COS(4*Q11-P11-O11) +3258*COS(3*Q11-O11) +(1-0.002516*K11)*2616*COS(2*Q11+P11+O11) -(1-0.002516*K11)*1897*COS(4*Q11-P11-2*O11)  -(1-0.002516*K11)*(1-0.002516*K11)*2117*COS(2*P11-O11) +(1-0.002516*K11)*(1-0.002516*K11)*2354*COS(2*Q11+2*P11-O11) -1423*COS(4*Q11+O11) -1117*COS(4*O11) -(1-0.002516*K11)*1571*COS(4*Q11-P11)  -1739*COS(Q11-2*O11) -4421*COS(2*O11-2*R11) +(1-0.002516*K11)*(1-0.002516*K11)*1165*COS(2*P11+O11) +8752*COS(2*Q11-O11-2*R11))/1000</f>
        <v>376234.560804371</v>
      </c>
      <c r="AT11" s="24" t="n">
        <f aca="false">60*ATAN(3476/AS11)/$E$6</f>
        <v>31.7601545443529</v>
      </c>
      <c r="AU11" s="28" t="n">
        <f aca="false">ATAN(0.99664719*TAN($E$6*input!$D$2))</f>
        <v>0.871010436227447</v>
      </c>
      <c r="AV11" s="28" t="n">
        <f aca="false">COS(AU11)</f>
        <v>0.644053912545846</v>
      </c>
      <c r="AW11" s="28" t="n">
        <f aca="false">0.99664719*SIN(AU11)</f>
        <v>0.762415269897027</v>
      </c>
      <c r="AX11" s="28" t="n">
        <f aca="false">6378.14/AS11</f>
        <v>0.0169525627479938</v>
      </c>
      <c r="AY11" s="31" t="n">
        <f aca="false">L11-15*AF11</f>
        <v>-196.636740076304</v>
      </c>
      <c r="AZ11" s="29" t="n">
        <f aca="false">COS($E$6*AE11)*SIN($E$6*AY11)</f>
        <v>0.282432960382119</v>
      </c>
      <c r="BA11" s="29" t="n">
        <f aca="false">COS($E$6*AE11)*COS($E$6*AY11)-AV11*AX11</f>
        <v>-0.956106704602722</v>
      </c>
      <c r="BB11" s="29" t="n">
        <f aca="false">SIN($E$6*AE11)-AW11*AX11</f>
        <v>-0.176786493968917</v>
      </c>
      <c r="BC11" s="45" t="n">
        <f aca="false">SQRT(AZ11^2+BA11^2+BB11^2)</f>
        <v>1.01250277636474</v>
      </c>
      <c r="BD11" s="20" t="n">
        <f aca="false">AS11*BC11</f>
        <v>380938.537378794</v>
      </c>
      <c r="BE11" s="30" t="str">
        <f aca="false">IF(OR(AND(BD11&gt;BD10,BD11&gt;BD12),AND(BD11&lt;BD10,BD11&lt;BD12)),BD11,"")</f>
        <v/>
      </c>
    </row>
    <row r="12" customFormat="false" ht="15" hidden="false" customHeight="false" outlineLevel="0" collapsed="false">
      <c r="A12" s="31" t="n">
        <v>5</v>
      </c>
      <c r="B12" s="30" t="n">
        <f aca="false">$B$2</f>
        <v>1</v>
      </c>
      <c r="C12" s="30" t="n">
        <f aca="false">C11</f>
        <v>12</v>
      </c>
      <c r="D12" s="30" t="n">
        <f aca="false">$D$2</f>
        <v>2022</v>
      </c>
      <c r="E12" s="43" t="s">
        <v>5</v>
      </c>
      <c r="F12" s="38" t="n">
        <f aca="false">AK12</f>
        <v>-49.2087033340128</v>
      </c>
      <c r="G12" s="39" t="n">
        <f aca="false">F12+1.02/(TAN($E$6*(F12+10.3/(F12+5.11)))*60)</f>
        <v>-49.2232523545706</v>
      </c>
      <c r="H12" s="38" t="n">
        <f aca="false">100*(1+COS($E$6*AO12))/2</f>
        <v>56.7635655268362</v>
      </c>
      <c r="I12" s="38" t="n">
        <f aca="false">IF(AG12&gt;180, AR12-180,AR12+180)</f>
        <v>345.939613412677</v>
      </c>
      <c r="J12" s="31" t="n">
        <f aca="false">INT(365.25*IF(C12&gt;2,D12+4716,D12-1+4716))+INT(30.6001*IF(C12&gt;2,C12+1,C12+12+1))+B12+A12/24+2-INT(IF(C12&gt;2,D12,D12-1)/100)+INT(INT(IF(C12&gt;2,D12,D12-1)/100)/4)-1524.5</f>
        <v>2459914.70833333</v>
      </c>
      <c r="K12" s="47" t="n">
        <f aca="false">(J12-2451545)/36525</f>
        <v>0.229150125484832</v>
      </c>
      <c r="L12" s="31" t="n">
        <f aca="false">MOD(280.46061837+360.98564736629*(J12-2451545)+0.000387933*K12^2-K12^3/38710000+$E$4,360)</f>
        <v>160.041614161339</v>
      </c>
      <c r="M12" s="28" t="n">
        <f aca="false">0.606433+1336.855225*K12 - INT(0.606433+1336.855225*K12)</f>
        <v>0.946975563803278</v>
      </c>
      <c r="N12" s="31" t="n">
        <f aca="false">22640*SIN(O12)-4586*SIN(O12-2*Q12)+2370*SIN(2*Q12)+769*SIN(2*O12)-668*SIN(P12)-412*SIN(2*R12)-212*SIN(2*O12-2*Q12)-206*SIN(O12+P12-2*Q12)+192*SIN(O12+2*Q12)-165*SIN(P12-2*Q12)-125*SIN(Q12)-110*SIN(O12+P12)+148*SIN(O12-P12)-55*SIN(2*R12-2*Q12)</f>
        <v>20579.7309207983</v>
      </c>
      <c r="O12" s="29" t="n">
        <f aca="false">2*PI()*(0.374897+1325.55241*K12 - INT(0.374897+1325.55241*K12))</f>
        <v>0.787899425461482</v>
      </c>
      <c r="P12" s="32" t="n">
        <f aca="false">2*PI()*(0.993133+99.997361*K12 - INT(0.993133+99.997361*K12))</f>
        <v>5.70224715407071</v>
      </c>
      <c r="Q12" s="32" t="n">
        <f aca="false">2*PI()*(0.827361+1236.853086*K12 - INT(0.827361+1236.853086*K12))</f>
        <v>1.58588139518855</v>
      </c>
      <c r="R12" s="32" t="n">
        <f aca="false">2*PI()*(0.259086+1342.227825*K12 - INT(0.259086+1342.227825*K12))</f>
        <v>5.21982234320818</v>
      </c>
      <c r="S12" s="32" t="n">
        <f aca="false">R12+(N12+412*SIN(2*R12)+541*SIN(P12))/206264.8062</f>
        <v>5.3164596169956</v>
      </c>
      <c r="T12" s="32" t="n">
        <f aca="false">R12-2*Q12</f>
        <v>2.04805955283109</v>
      </c>
      <c r="U12" s="24" t="n">
        <f aca="false">-526*SIN(T12)+44*SIN(O12+T12)-31*SIN(-O12+T12)-23*SIN(P12+T12)+11*SIN(-P12+T12)-25*SIN(-2*O12+R12)+21*SIN(-O12+R12)</f>
        <v>-509.121340790182</v>
      </c>
      <c r="V12" s="32" t="n">
        <f aca="false">2*PI()*(M12+N12/1296000-INT(M12+N12/1296000))</f>
        <v>6.04979629978642</v>
      </c>
      <c r="W12" s="31" t="n">
        <f aca="false">V12/$E$6</f>
        <v>346.627794891624</v>
      </c>
      <c r="X12" s="32" t="n">
        <f aca="false">(18520*SIN(S12)+U12)/206264.8062</f>
        <v>-0.0763661204454326</v>
      </c>
      <c r="Y12" s="32" t="n">
        <f aca="false">COS(X12)*COS(V12)</f>
        <v>0.970052728846821</v>
      </c>
      <c r="Z12" s="32" t="n">
        <f aca="false">COS(X12)*SIN(V12)</f>
        <v>-0.230601922505441</v>
      </c>
      <c r="AA12" s="32" t="n">
        <f aca="false">SIN(X12)</f>
        <v>-0.0762919169613023</v>
      </c>
      <c r="AB12" s="32" t="n">
        <f aca="false">COS($E$6*(23.4393-46.815*K12/3600))*Z12-SIN($E$6*(23.4393-46.815*K12/3600))*AA12</f>
        <v>-0.181234331460061</v>
      </c>
      <c r="AC12" s="32" t="n">
        <f aca="false">SIN($E$6*(23.4393-46.815*K12/3600))*Z12+COS($E$6*(23.4393-46.815*K12/3600))*AA12</f>
        <v>-0.161715244664999</v>
      </c>
      <c r="AD12" s="32" t="n">
        <f aca="false">SQRT(1-AC12*AC12)</f>
        <v>0.986837463639752</v>
      </c>
      <c r="AE12" s="31" t="n">
        <f aca="false">ATAN(AC12/AD12)/$E$6</f>
        <v>-9.30646919174461</v>
      </c>
      <c r="AF12" s="32" t="n">
        <f aca="false">IF(24*ATAN(AB12/(Y12+AD12))/PI()&gt;0,24*ATAN(AB12/(Y12+AD12))/PI(),24*ATAN(AB12/(Y12+AD12))/PI()+24)</f>
        <v>23.2944979346854</v>
      </c>
      <c r="AG12" s="31" t="n">
        <f aca="false">IF(L12-15*AF12&gt;0,L12-15*AF12,360+L12-15*AF12)</f>
        <v>170.624145141058</v>
      </c>
      <c r="AH12" s="29" t="n">
        <f aca="false">0.950724+0.051818*COS(O12)+0.009531*COS(2*Q12-O12)+0.007843*COS(2*Q12)+0.002824*COS(2*O12)+0.000857*COS(2*Q12+O12)+0.000533*COS(2*Q12-P12)*(1-0.002495*(J12-2415020)/36525)+0.000401*COS(2*Q12-P12-O12)*(1-0.002495*(J12-2415020)/36525)+0.00032*COS(O12-P12)*(1-0.002495*(J12-2415020)/36525)-0.000271*COS(Q12)</f>
        <v>0.971149707773101</v>
      </c>
      <c r="AI12" s="32" t="n">
        <f aca="false">ASIN(COS($E$6*$E$2)*COS($E$6*AE12)*COS($E$6*AG12)+SIN($E$6*$E$2)*SIN($E$6*AE12))/$E$6</f>
        <v>-48.5673347808556</v>
      </c>
      <c r="AJ12" s="29" t="n">
        <f aca="false">ASIN((0.9983271+0.0016764*COS($E$6*2*$E$2))*COS($E$6*AI12)*SIN($E$6*AH12))/$E$6</f>
        <v>0.64136855315721</v>
      </c>
      <c r="AK12" s="29" t="n">
        <f aca="false">AI12-AJ12</f>
        <v>-49.2087033340128</v>
      </c>
      <c r="AL12" s="31" t="n">
        <f aca="false"> MOD(280.4664567 + 360007.6982779*K12/10 + 0.03032028*K12^2/100 + K12^3/49931000,360)</f>
        <v>250.047396209984</v>
      </c>
      <c r="AM12" s="29" t="n">
        <f aca="false"> AL12 + (1.9146 - 0.004817*K12 - 0.000014*K12^2)*SIN(P12)+ (0.019993 - 0.000101*K12)*SIN(2*P12)+ 0.00029*SIN(3*P12)</f>
        <v>248.978644708749</v>
      </c>
      <c r="AN12" s="29" t="n">
        <f aca="false">ACOS(COS(V12-$E$6*AM12)*COS(X12))/$E$6</f>
        <v>97.6267241164151</v>
      </c>
      <c r="AO12" s="24" t="n">
        <f aca="false">180 - AN12 -0.1468*(1-0.0549*SIN(P12))*SIN($E$6*AN12)/(1-0.0167*SIN($E$6*AM12))</f>
        <v>82.2256912504168</v>
      </c>
      <c r="AP12" s="48" t="n">
        <f aca="false">SIN($E$6*AG12)</f>
        <v>0.16291019419678</v>
      </c>
      <c r="AQ12" s="48" t="n">
        <f aca="false">COS($E$6*AG12)*SIN($E$6*$E$2) - TAN($E$6*AE12)*COS($E$6*$E$2)</f>
        <v>-0.650475748238691</v>
      </c>
      <c r="AR12" s="48" t="n">
        <f aca="false">IF(OR(AND(AP12*AQ12&gt;0), AND(AP12&lt;0,AQ12&gt;0)), MOD(ATAN2(AQ12,AP12)/$E$6+360,360),  ATAN2(AQ12,AP12)/$E$6)</f>
        <v>165.939613412677</v>
      </c>
      <c r="AS12" s="20" t="n">
        <f aca="false"> 385000.56 + (-20905355*COS(O12) - 3699111*COS(2*Q12-O12) - 2955968*COS(2*Q12) - 569925*COS(2*O12) + (1-0.002516*K12)*48888*COS(P12) - 3149*COS(2*R12)  +246158*COS(2*Q12-2*O12) -(1-0.002516*K12)*152138*COS(2*Q12-P12-O12) -170733*COS(2*Q12+O12) -(1-0.002516*K12)*204586*COS(2*Q12-P12) -(1-0.002516*K12)*129620*COS(P12-O12)  + 108743*COS(Q12) +(1-0.002516*K12)*104755*COS(P12+O12) +10321*COS(2*Q12-2*R12) +79661*COS(O12-2*R12) -34782*COS(4*Q12-O12) -23210*COS(3*O12)  -21636*COS(4*Q12-2*O12) +(1-0.002516*K12)*24208*COS(2*Q12+P12-O12) +(1-0.002516*K12)*30824*COS(2*Q12+P12) -8379*COS(Q12-O12) -(1-0.002516*K12)*16675*COS(Q12+P12)  -(1-0.002516*K12)*12831*COS(2*Q12-P12+O12) -10445*COS(2*Q12+2*O12) -11650*COS(4*Q12) +14403*COS(2*Q12-3*O12) -(1-0.002516*K12)*7003*COS(P12-2*O12)  + (1-0.002516*K12)*10056*COS(2*Q12-P12-2*O12) +6322*COS(Q12+O12) -(1-0.002516*K12)*(1-0.002516*K12)*9884*COS(2*Q12-2*P12) +(1-0.002516*K12)*5751*COS(P12+2*O12) -(1-0.002516*K12)*(1-0.002516*K12)*4950*COS(2*Q12-2*P12-O12)  +4130*COS(2*Q12+O12-2*R12) -(1-0.002516*K12)*3958*COS(4*Q12-P12-O12) +3258*COS(3*Q12-O12) +(1-0.002516*K12)*2616*COS(2*Q12+P12+O12) -(1-0.002516*K12)*1897*COS(4*Q12-P12-2*O12)  -(1-0.002516*K12)*(1-0.002516*K12)*2117*COS(2*P12-O12) +(1-0.002516*K12)*(1-0.002516*K12)*2354*COS(2*Q12+2*P12-O12) -1423*COS(4*Q12+O12) -1117*COS(4*O12) -(1-0.002516*K12)*1571*COS(4*Q12-P12)  -1739*COS(Q12-2*O12) -4421*COS(2*O12-2*R12) +(1-0.002516*K12)*(1-0.002516*K12)*1165*COS(2*P12+O12) +8752*COS(2*Q12-O12-2*R12))/1000</f>
        <v>376316.797865366</v>
      </c>
      <c r="AT12" s="24" t="n">
        <f aca="false">60*ATAN(3476/AS12)/$E$6</f>
        <v>31.7532143460603</v>
      </c>
      <c r="AU12" s="28" t="n">
        <f aca="false">ATAN(0.99664719*TAN($E$6*input!$D$2))</f>
        <v>0.871010436227447</v>
      </c>
      <c r="AV12" s="28" t="n">
        <f aca="false">COS(AU12)</f>
        <v>0.644053912545846</v>
      </c>
      <c r="AW12" s="28" t="n">
        <f aca="false">0.99664719*SIN(AU12)</f>
        <v>0.762415269897027</v>
      </c>
      <c r="AX12" s="28" t="n">
        <f aca="false">6378.14/AS12</f>
        <v>0.0169488580796276</v>
      </c>
      <c r="AY12" s="31" t="n">
        <f aca="false">L12-15*AF12</f>
        <v>-189.375854858943</v>
      </c>
      <c r="AZ12" s="29" t="n">
        <f aca="false">COS($E$6*AE12)*SIN($E$6*AY12)</f>
        <v>0.16076588284221</v>
      </c>
      <c r="BA12" s="29" t="n">
        <f aca="false">COS($E$6*AE12)*COS($E$6*AY12)-AV12*AX12</f>
        <v>-0.984570183175896</v>
      </c>
      <c r="BB12" s="29" t="n">
        <f aca="false">SIN($E$6*AE12)-AW12*AX12</f>
        <v>-0.174637312872225</v>
      </c>
      <c r="BC12" s="45" t="n">
        <f aca="false">SQRT(AZ12^2+BA12^2+BB12^2)</f>
        <v>1.0127794951184</v>
      </c>
      <c r="BD12" s="20" t="n">
        <f aca="false">AS12*BC12</f>
        <v>381125.936546659</v>
      </c>
      <c r="BE12" s="30" t="str">
        <f aca="false">IF(OR(AND(BD12&gt;BD11,BD12&gt;BD13),AND(BD12&lt;BD11,BD12&lt;BD13)),BD12,"")</f>
        <v/>
      </c>
    </row>
    <row r="13" customFormat="false" ht="15" hidden="false" customHeight="false" outlineLevel="0" collapsed="false">
      <c r="A13" s="31" t="n">
        <v>5.5</v>
      </c>
      <c r="B13" s="30" t="n">
        <f aca="false">$B$2</f>
        <v>1</v>
      </c>
      <c r="C13" s="30" t="n">
        <f aca="false">C12</f>
        <v>12</v>
      </c>
      <c r="D13" s="30" t="n">
        <f aca="false">$D$2</f>
        <v>2022</v>
      </c>
      <c r="E13" s="43" t="s">
        <v>73</v>
      </c>
      <c r="F13" s="38" t="n">
        <f aca="false">AK13</f>
        <v>-49.7777147130843</v>
      </c>
      <c r="G13" s="39" t="n">
        <f aca="false">F13+1.02/(TAN($E$6*(F13+10.3/(F13+5.11)))*60)</f>
        <v>-49.7919752075418</v>
      </c>
      <c r="H13" s="38" t="n">
        <f aca="false">100*(1+COS($E$6*AO13))/2</f>
        <v>56.9912408865259</v>
      </c>
      <c r="I13" s="38" t="n">
        <f aca="false">IF(AG13&gt;180, AR13-180,AR13+180)</f>
        <v>356.807849136116</v>
      </c>
      <c r="J13" s="31" t="n">
        <f aca="false">INT(365.25*IF(C13&gt;2,D13+4716,D13-1+4716))+INT(30.6001*IF(C13&gt;2,C13+1,C13+12+1))+B13+A13/24+2-INT(IF(C13&gt;2,D13,D13-1)/100)+INT(INT(IF(C13&gt;2,D13,D13-1)/100)/4)-1524.5</f>
        <v>2459914.72916667</v>
      </c>
      <c r="K13" s="47" t="n">
        <f aca="false">(J13-2451545)/36525</f>
        <v>0.229150695870404</v>
      </c>
      <c r="L13" s="31" t="n">
        <f aca="false">MOD(280.46061837+360.98564736629*(J13-2451545)+0.000387933*K13^2-K13^3/38710000+$E$4,360)</f>
        <v>167.562148369383</v>
      </c>
      <c r="M13" s="28" t="n">
        <f aca="false">0.606433+1336.855225*K13 - INT(0.606433+1336.855225*K13)</f>
        <v>0.947738086735683</v>
      </c>
      <c r="N13" s="31" t="n">
        <f aca="false">22640*SIN(O13)-4586*SIN(O13-2*Q13)+2370*SIN(2*Q13)+769*SIN(2*O13)-668*SIN(P13)-412*SIN(2*R13)-212*SIN(2*O13-2*Q13)-206*SIN(O13+P13-2*Q13)+192*SIN(O13+2*Q13)-165*SIN(P13-2*Q13)-125*SIN(Q13)-110*SIN(O13+P13)+148*SIN(O13-P13)-55*SIN(2*R13-2*Q13)</f>
        <v>20618.3691034283</v>
      </c>
      <c r="O13" s="29" t="n">
        <f aca="false">2*PI()*(0.374897+1325.55241*K13 - INT(0.374897+1325.55241*K13))</f>
        <v>0.792649990885886</v>
      </c>
      <c r="P13" s="32" t="n">
        <f aca="false">2*PI()*(0.993133+99.997361*K13 - INT(0.993133+99.997361*K13))</f>
        <v>5.70260552843759</v>
      </c>
      <c r="Q13" s="32" t="n">
        <f aca="false">2*PI()*(0.827361+1236.853086*K13 - INT(0.827361+1236.853086*K13))</f>
        <v>1.59031407658323</v>
      </c>
      <c r="R13" s="32" t="n">
        <f aca="false">2*PI()*(0.259086+1342.227825*K13 - INT(0.259086+1342.227825*K13))</f>
        <v>5.22463267062299</v>
      </c>
      <c r="S13" s="32" t="n">
        <f aca="false">R13+(N13+412*SIN(2*R13)+541*SIN(P13))/206264.8062</f>
        <v>5.32144799088888</v>
      </c>
      <c r="T13" s="32" t="n">
        <f aca="false">R13-2*Q13</f>
        <v>2.04400451745652</v>
      </c>
      <c r="U13" s="24" t="n">
        <f aca="false">-526*SIN(T13)+44*SIN(O13+T13)-31*SIN(-O13+T13)-23*SIN(P13+T13)+11*SIN(-P13+T13)-25*SIN(-2*O13+R13)+21*SIN(-O13+R13)</f>
        <v>-510.093919384343</v>
      </c>
      <c r="V13" s="32" t="n">
        <f aca="false">2*PI()*(M13+N13/1296000-INT(M13+N13/1296000))</f>
        <v>6.05477469586722</v>
      </c>
      <c r="W13" s="31" t="n">
        <f aca="false">V13/$E$6</f>
        <v>346.913035975798</v>
      </c>
      <c r="X13" s="32" t="n">
        <f aca="false">(18520*SIN(S13)+U13)/206264.8062</f>
        <v>-0.0761155148575807</v>
      </c>
      <c r="Y13" s="32" t="n">
        <f aca="false">COS(X13)*COS(V13)</f>
        <v>0.971207322846808</v>
      </c>
      <c r="Z13" s="32" t="n">
        <f aca="false">COS(X13)*SIN(V13)</f>
        <v>-0.225774100148955</v>
      </c>
      <c r="AA13" s="32" t="n">
        <f aca="false">SIN(X13)</f>
        <v>-0.0760420393641951</v>
      </c>
      <c r="AB13" s="32" t="n">
        <f aca="false">COS($E$6*(23.4393-46.815*K13/3600))*Z13-SIN($E$6*(23.4393-46.815*K13/3600))*AA13</f>
        <v>-0.176904175207189</v>
      </c>
      <c r="AC13" s="32" t="n">
        <f aca="false">SIN($E$6*(23.4393-46.815*K13/3600))*Z13+COS($E$6*(23.4393-46.815*K13/3600))*AA13</f>
        <v>-0.159565813515929</v>
      </c>
      <c r="AD13" s="32" t="n">
        <f aca="false">SQRT(1-AC13*AC13)</f>
        <v>0.987187292846195</v>
      </c>
      <c r="AE13" s="31" t="n">
        <f aca="false">ATAN(AC13/AD13)/$E$6</f>
        <v>-9.18169539230728</v>
      </c>
      <c r="AF13" s="32" t="n">
        <f aca="false">IF(24*ATAN(AB13/(Y13+AD13))/PI()&gt;0,24*ATAN(AB13/(Y13+AD13))/PI(),24*ATAN(AB13/(Y13+AD13))/PI()+24)</f>
        <v>23.3117881285961</v>
      </c>
      <c r="AG13" s="31" t="n">
        <f aca="false">IF(L13-15*AF13&gt;0,L13-15*AF13,360+L13-15*AF13)</f>
        <v>177.885326440442</v>
      </c>
      <c r="AH13" s="29" t="n">
        <f aca="false">0.950724+0.051818*COS(O13)+0.009531*COS(2*Q13-O13)+0.007843*COS(2*Q13)+0.002824*COS(2*O13)+0.000857*COS(2*Q13+O13)+0.000533*COS(2*Q13-P13)*(1-0.002495*(J13-2415020)/36525)+0.000401*COS(2*Q13-P13-O13)*(1-0.002495*(J13-2415020)/36525)+0.00032*COS(O13-P13)*(1-0.002495*(J13-2415020)/36525)-0.000271*COS(Q13)</f>
        <v>0.970934223213044</v>
      </c>
      <c r="AI13" s="32" t="n">
        <f aca="false">ASIN(COS($E$6*$E$2)*COS($E$6*AE13)*COS($E$6*AG13)+SIN($E$6*$E$2)*SIN($E$6*AE13))/$E$6</f>
        <v>-49.1438308943622</v>
      </c>
      <c r="AJ13" s="29" t="n">
        <f aca="false">ASIN((0.9983271+0.0016764*COS($E$6*2*$E$2))*COS($E$6*AI13)*SIN($E$6*AH13))/$E$6</f>
        <v>0.63388381872213</v>
      </c>
      <c r="AK13" s="29" t="n">
        <f aca="false">AI13-AJ13</f>
        <v>-49.7777147130843</v>
      </c>
      <c r="AL13" s="31" t="n">
        <f aca="false"> MOD(280.4664567 + 360007.6982779*K13/10 + 0.03032028*K13^2/100 + K13^3/49931000,360)</f>
        <v>250.06793052976</v>
      </c>
      <c r="AM13" s="29" t="n">
        <f aca="false"> AL13 + (1.9146 - 0.004817*K13 - 0.000014*K13^2)*SIN(P13)+ (0.019993 - 0.000101*K13)*SIN(2*P13)+ 0.00029*SIN(3*P13)</f>
        <v>248.999757989814</v>
      </c>
      <c r="AN13" s="29" t="n">
        <f aca="false">ACOS(COS(V13-$E$6*AM13)*COS(X13))/$E$6</f>
        <v>97.8902198206276</v>
      </c>
      <c r="AO13" s="24" t="n">
        <f aca="false">180 - AN13 -0.1468*(1-0.0549*SIN(P13))*SIN($E$6*AN13)/(1-0.0167*SIN($E$6*AM13))</f>
        <v>81.9622906652334</v>
      </c>
      <c r="AP13" s="48" t="n">
        <f aca="false">SIN($E$6*AG13)</f>
        <v>0.0368996374296916</v>
      </c>
      <c r="AQ13" s="48" t="n">
        <f aca="false">COS($E$6*AG13)*SIN($E$6*$E$2) - TAN($E$6*AE13)*COS($E$6*$E$2)</f>
        <v>-0.661624604482545</v>
      </c>
      <c r="AR13" s="48" t="n">
        <f aca="false">IF(OR(AND(AP13*AQ13&gt;0), AND(AP13&lt;0,AQ13&gt;0)), MOD(ATAN2(AQ13,AP13)/$E$6+360,360),  ATAN2(AQ13,AP13)/$E$6)</f>
        <v>176.807849136116</v>
      </c>
      <c r="AS13" s="20" t="n">
        <f aca="false"> 385000.56 + (-20905355*COS(O13) - 3699111*COS(2*Q13-O13) - 2955968*COS(2*Q13) - 569925*COS(2*O13) + (1-0.002516*K13)*48888*COS(P13) - 3149*COS(2*R13)  +246158*COS(2*Q13-2*O13) -(1-0.002516*K13)*152138*COS(2*Q13-P13-O13) -170733*COS(2*Q13+O13) -(1-0.002516*K13)*204586*COS(2*Q13-P13) -(1-0.002516*K13)*129620*COS(P13-O13)  + 108743*COS(Q13) +(1-0.002516*K13)*104755*COS(P13+O13) +10321*COS(2*Q13-2*R13) +79661*COS(O13-2*R13) -34782*COS(4*Q13-O13) -23210*COS(3*O13)  -21636*COS(4*Q13-2*O13) +(1-0.002516*K13)*24208*COS(2*Q13+P13-O13) +(1-0.002516*K13)*30824*COS(2*Q13+P13) -8379*COS(Q13-O13) -(1-0.002516*K13)*16675*COS(Q13+P13)  -(1-0.002516*K13)*12831*COS(2*Q13-P13+O13) -10445*COS(2*Q13+2*O13) -11650*COS(4*Q13) +14403*COS(2*Q13-3*O13) -(1-0.002516*K13)*7003*COS(P13-2*O13)  + (1-0.002516*K13)*10056*COS(2*Q13-P13-2*O13) +6322*COS(Q13+O13) -(1-0.002516*K13)*(1-0.002516*K13)*9884*COS(2*Q13-2*P13) +(1-0.002516*K13)*5751*COS(P13+2*O13) -(1-0.002516*K13)*(1-0.002516*K13)*4950*COS(2*Q13-2*P13-O13)  +4130*COS(2*Q13+O13-2*R13) -(1-0.002516*K13)*3958*COS(4*Q13-P13-O13) +3258*COS(3*Q13-O13) +(1-0.002516*K13)*2616*COS(2*Q13+P13+O13) -(1-0.002516*K13)*1897*COS(4*Q13-P13-2*O13)  -(1-0.002516*K13)*(1-0.002516*K13)*2117*COS(2*P13-O13) +(1-0.002516*K13)*(1-0.002516*K13)*2354*COS(2*Q13+2*P13-O13) -1423*COS(4*Q13+O13) -1117*COS(4*O13) -(1-0.002516*K13)*1571*COS(4*Q13-P13)  -1739*COS(Q13-2*O13) -4421*COS(2*O13-2*R13) +(1-0.002516*K13)*(1-0.002516*K13)*1165*COS(2*P13+O13) +8752*COS(2*Q13-O13-2*R13))/1000</f>
        <v>376399.061389053</v>
      </c>
      <c r="AT13" s="24" t="n">
        <f aca="false">60*ATAN(3476/AS13)/$E$6</f>
        <v>31.7462749483583</v>
      </c>
      <c r="AU13" s="28" t="n">
        <f aca="false">ATAN(0.99664719*TAN($E$6*input!$D$2))</f>
        <v>0.871010436227447</v>
      </c>
      <c r="AV13" s="28" t="n">
        <f aca="false">COS(AU13)</f>
        <v>0.644053912545846</v>
      </c>
      <c r="AW13" s="28" t="n">
        <f aca="false">0.99664719*SIN(AU13)</f>
        <v>0.762415269897027</v>
      </c>
      <c r="AX13" s="28" t="n">
        <f aca="false">6378.14/AS13</f>
        <v>0.0169451538387537</v>
      </c>
      <c r="AY13" s="31" t="n">
        <f aca="false">L13-15*AF13</f>
        <v>-182.114673559558</v>
      </c>
      <c r="AZ13" s="29" t="n">
        <f aca="false">COS($E$6*AE13)*SIN($E$6*AY13)</f>
        <v>0.0364268531812232</v>
      </c>
      <c r="BA13" s="29" t="n">
        <f aca="false">COS($E$6*AE13)*COS($E$6*AY13)-AV13*AX13</f>
        <v>-0.997428587711896</v>
      </c>
      <c r="BB13" s="29" t="n">
        <f aca="false">SIN($E$6*AE13)-AW13*AX13</f>
        <v>-0.17248505755335</v>
      </c>
      <c r="BC13" s="45" t="n">
        <f aca="false">SQRT(AZ13^2+BA13^2+BB13^2)</f>
        <v>1.0128878507993</v>
      </c>
      <c r="BD13" s="20" t="n">
        <f aca="false">AS13*BC13</f>
        <v>381250.03633323</v>
      </c>
      <c r="BE13" s="30" t="str">
        <f aca="false">IF(OR(AND(BD13&gt;BD12,BD13&gt;BD14),AND(BD13&lt;BD12,BD13&lt;BD14)),BD13,"")</f>
        <v/>
      </c>
    </row>
    <row r="14" customFormat="false" ht="15" hidden="false" customHeight="false" outlineLevel="0" collapsed="false">
      <c r="A14" s="31" t="n">
        <v>6</v>
      </c>
      <c r="B14" s="30" t="n">
        <f aca="false">$B$2</f>
        <v>1</v>
      </c>
      <c r="C14" s="30" t="n">
        <f aca="false">C13</f>
        <v>12</v>
      </c>
      <c r="D14" s="30" t="n">
        <f aca="false">$D$2</f>
        <v>2022</v>
      </c>
      <c r="E14" s="43" t="s">
        <v>74</v>
      </c>
      <c r="F14" s="38" t="n">
        <f aca="false">AK14</f>
        <v>-49.4712237715493</v>
      </c>
      <c r="G14" s="39" t="n">
        <f aca="false">F14+1.02/(TAN($E$6*(F14+10.3/(F14+5.11)))*60)</f>
        <v>-49.4856390813864</v>
      </c>
      <c r="H14" s="38" t="n">
        <f aca="false">100*(1+COS($E$6*AO14))/2</f>
        <v>57.2186597178118</v>
      </c>
      <c r="I14" s="38" t="n">
        <f aca="false">IF(AG14&gt;180, AR14-180,AR14+180)</f>
        <v>7.7345357378413</v>
      </c>
      <c r="J14" s="31" t="n">
        <f aca="false">INT(365.25*IF(C14&gt;2,D14+4716,D14-1+4716))+INT(30.6001*IF(C14&gt;2,C14+1,C14+12+1))+B14+A14/24+2-INT(IF(C14&gt;2,D14,D14-1)/100)+INT(INT(IF(C14&gt;2,D14,D14-1)/100)/4)-1524.5</f>
        <v>2459914.75</v>
      </c>
      <c r="K14" s="47" t="n">
        <f aca="false">(J14-2451545)/36525</f>
        <v>0.229151266255989</v>
      </c>
      <c r="L14" s="31" t="n">
        <f aca="false">MOD(280.46061837+360.98564736629*(J14-2451545)+0.000387933*K14^2-K14^3/38710000+$E$4,360)</f>
        <v>175.082682745531</v>
      </c>
      <c r="M14" s="28" t="n">
        <f aca="false">0.606433+1336.855225*K14 - INT(0.606433+1336.855225*K14)</f>
        <v>0.948500609685141</v>
      </c>
      <c r="N14" s="31" t="n">
        <f aca="false">22640*SIN(O14)-4586*SIN(O14-2*Q14)+2370*SIN(2*Q14)+769*SIN(2*O14)-668*SIN(P14)-412*SIN(2*R14)-212*SIN(2*O14-2*Q14)-206*SIN(O14+P14-2*Q14)+192*SIN(O14+2*Q14)-165*SIN(P14-2*Q14)-125*SIN(Q14)-110*SIN(O14+P14)+148*SIN(O14-P14)-55*SIN(2*R14-2*Q14)</f>
        <v>20656.5284276427</v>
      </c>
      <c r="O14" s="29" t="n">
        <f aca="false">2*PI()*(0.374897+1325.55241*K14 - INT(0.374897+1325.55241*K14))</f>
        <v>0.797400556416723</v>
      </c>
      <c r="P14" s="32" t="n">
        <f aca="false">2*PI()*(0.993133+99.997361*K14 - INT(0.993133+99.997361*K14))</f>
        <v>5.70296390281249</v>
      </c>
      <c r="Q14" s="32" t="n">
        <f aca="false">2*PI()*(0.827361+1236.853086*K14 - INT(0.827361+1236.853086*K14))</f>
        <v>1.59474675807721</v>
      </c>
      <c r="R14" s="32" t="n">
        <f aca="false">2*PI()*(0.259086+1342.227825*K14 - INT(0.259086+1342.227825*K14))</f>
        <v>5.22944299814494</v>
      </c>
      <c r="S14" s="32" t="n">
        <f aca="false">R14+(N14+412*SIN(2*R14)+541*SIN(P14))/206264.8062</f>
        <v>5.32643420146876</v>
      </c>
      <c r="T14" s="32" t="n">
        <f aca="false">R14-2*Q14</f>
        <v>2.03994948199052</v>
      </c>
      <c r="U14" s="24" t="n">
        <f aca="false">-526*SIN(T14)+44*SIN(O14+T14)-31*SIN(-O14+T14)-23*SIN(P14+T14)+11*SIN(-P14+T14)-25*SIN(-2*O14+R14)+21*SIN(-O14+R14)</f>
        <v>-511.056579566663</v>
      </c>
      <c r="V14" s="32" t="n">
        <f aca="false">2*PI()*(M14+N14/1296000-INT(M14+N14/1296000))</f>
        <v>6.05975077048405</v>
      </c>
      <c r="W14" s="31" t="n">
        <f aca="false">V14/$E$6</f>
        <v>347.198144049885</v>
      </c>
      <c r="X14" s="32" t="n">
        <f aca="false">(18520*SIN(S14)+U14)/206264.8062</f>
        <v>-0.0758631405929675</v>
      </c>
      <c r="Y14" s="32" t="n">
        <f aca="false">COS(X14)*COS(V14)</f>
        <v>0.972337445858032</v>
      </c>
      <c r="Z14" s="32" t="n">
        <f aca="false">COS(X14)*SIN(V14)</f>
        <v>-0.220942770079191</v>
      </c>
      <c r="AA14" s="32" t="n">
        <f aca="false">SIN(X14)</f>
        <v>-0.0757903934018826</v>
      </c>
      <c r="AB14" s="32" t="n">
        <f aca="false">COS($E$6*(23.4393-46.815*K14/3600))*Z14-SIN($E$6*(23.4393-46.815*K14/3600))*AA14</f>
        <v>-0.172571503948552</v>
      </c>
      <c r="AC14" s="32" t="n">
        <f aca="false">SIN($E$6*(23.4393-46.815*K14/3600))*Z14+COS($E$6*(23.4393-46.815*K14/3600))*AA14</f>
        <v>-0.157413364766825</v>
      </c>
      <c r="AD14" s="32" t="n">
        <f aca="false">SQRT(1-AC14*AC14)</f>
        <v>0.987532800768049</v>
      </c>
      <c r="AE14" s="31" t="n">
        <f aca="false">ATAN(AC14/AD14)/$E$6</f>
        <v>-9.05679041919307</v>
      </c>
      <c r="AF14" s="32" t="n">
        <f aca="false">IF(24*ATAN(AB14/(Y14+AD14))/PI()&gt;0,24*ATAN(AB14/(Y14+AD14))/PI(),24*ATAN(AB14/(Y14+AD14))/PI()+24)</f>
        <v>23.32905875676</v>
      </c>
      <c r="AG14" s="31" t="n">
        <f aca="false">IF(L14-15*AF14&gt;0,L14-15*AF14,360+L14-15*AF14)</f>
        <v>185.146801394132</v>
      </c>
      <c r="AH14" s="29" t="n">
        <f aca="false">0.950724+0.051818*COS(O14)+0.009531*COS(2*Q14-O14)+0.007843*COS(2*Q14)+0.002824*COS(2*O14)+0.000857*COS(2*Q14+O14)+0.000533*COS(2*Q14-P14)*(1-0.002495*(J14-2415020)/36525)+0.000401*COS(2*Q14-P14-O14)*(1-0.002495*(J14-2415020)/36525)+0.00032*COS(O14-P14)*(1-0.002495*(J14-2415020)/36525)-0.000271*COS(Q14)</f>
        <v>0.97071879765755</v>
      </c>
      <c r="AI14" s="32" t="n">
        <f aca="false">ASIN(COS($E$6*$E$2)*COS($E$6*AE14)*COS($E$6*AG14)+SIN($E$6*$E$2)*SIN($E$6*AE14))/$E$6</f>
        <v>-48.8335212463686</v>
      </c>
      <c r="AJ14" s="29" t="n">
        <f aca="false">ASIN((0.9983271+0.0016764*COS($E$6*2*$E$2))*COS($E$6*AI14)*SIN($E$6*AH14))/$E$6</f>
        <v>0.637702525180704</v>
      </c>
      <c r="AK14" s="29" t="n">
        <f aca="false">AI14-AJ14</f>
        <v>-49.4712237715493</v>
      </c>
      <c r="AL14" s="31" t="n">
        <f aca="false"> MOD(280.4664567 + 360007.6982779*K14/10 + 0.03032028*K14^2/100 + K14^3/49931000,360)</f>
        <v>250.088464849994</v>
      </c>
      <c r="AM14" s="29" t="n">
        <f aca="false"> AL14 + (1.9146 - 0.004817*K14 - 0.000014*K14^2)*SIN(P14)+ (0.019993 - 0.000101*K14)*SIN(2*P14)+ 0.00029*SIN(3*P14)</f>
        <v>249.020871415888</v>
      </c>
      <c r="AN14" s="29" t="n">
        <f aca="false">ACOS(COS(V14-$E$6*AM14)*COS(X14))/$E$6</f>
        <v>98.1535926306644</v>
      </c>
      <c r="AO14" s="24" t="n">
        <f aca="false">180 - AN14 -0.1468*(1-0.0549*SIN(P14))*SIN($E$6*AN14)/(1-0.0167*SIN($E$6*AM14))</f>
        <v>81.6990160450927</v>
      </c>
      <c r="AP14" s="48" t="n">
        <f aca="false">SIN($E$6*AG14)</f>
        <v>-0.0897078717319528</v>
      </c>
      <c r="AQ14" s="48" t="n">
        <f aca="false">COS($E$6*AG14)*SIN($E$6*$E$2) - TAN($E$6*AE14)*COS($E$6*$E$2)</f>
        <v>-0.660495085331531</v>
      </c>
      <c r="AR14" s="48" t="n">
        <f aca="false">IF(OR(AND(AP14*AQ14&gt;0), AND(AP14&lt;0,AQ14&gt;0)), MOD(ATAN2(AQ14,AP14)/$E$6+360,360),  ATAN2(AQ14,AP14)/$E$6)</f>
        <v>187.734535737841</v>
      </c>
      <c r="AS14" s="20" t="n">
        <f aca="false"> 385000.56 + (-20905355*COS(O14) - 3699111*COS(2*Q14-O14) - 2955968*COS(2*Q14) - 569925*COS(2*O14) + (1-0.002516*K14)*48888*COS(P14) - 3149*COS(2*R14)  +246158*COS(2*Q14-2*O14) -(1-0.002516*K14)*152138*COS(2*Q14-P14-O14) -170733*COS(2*Q14+O14) -(1-0.002516*K14)*204586*COS(2*Q14-P14) -(1-0.002516*K14)*129620*COS(P14-O14)  + 108743*COS(Q14) +(1-0.002516*K14)*104755*COS(P14+O14) +10321*COS(2*Q14-2*R14) +79661*COS(O14-2*R14) -34782*COS(4*Q14-O14) -23210*COS(3*O14)  -21636*COS(4*Q14-2*O14) +(1-0.002516*K14)*24208*COS(2*Q14+P14-O14) +(1-0.002516*K14)*30824*COS(2*Q14+P14) -8379*COS(Q14-O14) -(1-0.002516*K14)*16675*COS(Q14+P14)  -(1-0.002516*K14)*12831*COS(2*Q14-P14+O14) -10445*COS(2*Q14+2*O14) -11650*COS(4*Q14) +14403*COS(2*Q14-3*O14) -(1-0.002516*K14)*7003*COS(P14-2*O14)  + (1-0.002516*K14)*10056*COS(2*Q14-P14-2*O14) +6322*COS(Q14+O14) -(1-0.002516*K14)*(1-0.002516*K14)*9884*COS(2*Q14-2*P14) +(1-0.002516*K14)*5751*COS(P14+2*O14) -(1-0.002516*K14)*(1-0.002516*K14)*4950*COS(2*Q14-2*P14-O14)  +4130*COS(2*Q14+O14-2*R14) -(1-0.002516*K14)*3958*COS(4*Q14-P14-O14) +3258*COS(3*Q14-O14) +(1-0.002516*K14)*2616*COS(2*Q14+P14+O14) -(1-0.002516*K14)*1897*COS(4*Q14-P14-2*O14)  -(1-0.002516*K14)*(1-0.002516*K14)*2117*COS(2*P14-O14) +(1-0.002516*K14)*(1-0.002516*K14)*2354*COS(2*Q14+2*P14-O14) -1423*COS(4*Q14+O14) -1117*COS(4*O14) -(1-0.002516*K14)*1571*COS(4*Q14-P14)  -1739*COS(Q14-2*O14) -4421*COS(2*O14-2*R14) +(1-0.002516*K14)*(1-0.002516*K14)*1165*COS(2*P14+O14) +8752*COS(2*Q14-O14-2*R14))/1000</f>
        <v>376481.349690138</v>
      </c>
      <c r="AT14" s="24" t="n">
        <f aca="false">60*ATAN(3476/AS14)/$E$6</f>
        <v>31.7393364942563</v>
      </c>
      <c r="AU14" s="28" t="n">
        <f aca="false">ATAN(0.99664719*TAN($E$6*input!$D$2))</f>
        <v>0.871010436227447</v>
      </c>
      <c r="AV14" s="28" t="n">
        <f aca="false">COS(AU14)</f>
        <v>0.644053912545846</v>
      </c>
      <c r="AW14" s="28" t="n">
        <f aca="false">0.99664719*SIN(AU14)</f>
        <v>0.762415269897027</v>
      </c>
      <c r="AX14" s="28" t="n">
        <f aca="false">6378.14/AS14</f>
        <v>0.0169414501017103</v>
      </c>
      <c r="AY14" s="31" t="n">
        <f aca="false">L14-15*AF14</f>
        <v>-174.853198605869</v>
      </c>
      <c r="AZ14" s="29" t="n">
        <f aca="false">COS($E$6*AE14)*SIN($E$6*AY14)</f>
        <v>-0.0885894658223965</v>
      </c>
      <c r="BA14" s="29" t="n">
        <f aca="false">COS($E$6*AE14)*COS($E$6*AY14)-AV14*AX14</f>
        <v>-0.99446239508082</v>
      </c>
      <c r="BB14" s="29" t="n">
        <f aca="false">SIN($E$6*AE14)-AW14*AX14</f>
        <v>-0.170329785018567</v>
      </c>
      <c r="BC14" s="45" t="n">
        <f aca="false">SQRT(AZ14^2+BA14^2+BB14^2)</f>
        <v>1.01282564360755</v>
      </c>
      <c r="BD14" s="20" t="n">
        <f aca="false">AS14*BC14</f>
        <v>381309.965306153</v>
      </c>
      <c r="BE14" s="49" t="n">
        <f aca="false">IF(OR(AND(BD14&gt;BD13,BD14&gt;BD15),AND(BD14&lt;BD13,BD14&lt;BD15)),BD14,"")</f>
        <v>381309.965306153</v>
      </c>
    </row>
    <row r="15" customFormat="false" ht="15" hidden="false" customHeight="false" outlineLevel="0" collapsed="false">
      <c r="A15" s="31" t="n">
        <v>6.5</v>
      </c>
      <c r="B15" s="30" t="n">
        <f aca="false">$B$2</f>
        <v>1</v>
      </c>
      <c r="C15" s="30" t="n">
        <f aca="false">C14</f>
        <v>12</v>
      </c>
      <c r="D15" s="30" t="n">
        <f aca="false">$D$2</f>
        <v>2022</v>
      </c>
      <c r="E15" s="50"/>
      <c r="F15" s="38" t="n">
        <f aca="false">AK15</f>
        <v>-48.3067527771954</v>
      </c>
      <c r="G15" s="39" t="n">
        <f aca="false">F15+1.02/(TAN($E$6*(F15+10.3/(F15+5.11)))*60)</f>
        <v>-48.3217692166393</v>
      </c>
      <c r="H15" s="38" t="n">
        <f aca="false">100*(1+COS($E$6*AO15))/2</f>
        <v>57.4458175561189</v>
      </c>
      <c r="I15" s="38" t="n">
        <f aca="false">IF(AG15&gt;180, AR15-180,AR15+180)</f>
        <v>18.3689766858071</v>
      </c>
      <c r="J15" s="31" t="n">
        <f aca="false">INT(365.25*IF(C15&gt;2,D15+4716,D15-1+4716))+INT(30.6001*IF(C15&gt;2,C15+1,C15+12+1))+B15+A15/24+2-INT(IF(C15&gt;2,D15,D15-1)/100)+INT(INT(IF(C15&gt;2,D15,D15-1)/100)/4)-1524.5</f>
        <v>2459914.77083333</v>
      </c>
      <c r="K15" s="47" t="n">
        <f aca="false">(J15-2451545)/36525</f>
        <v>0.229151836641574</v>
      </c>
      <c r="L15" s="31" t="n">
        <f aca="false">MOD(280.46061837+360.98564736629*(J15-2451545)+0.000387933*K15^2-K15^3/38710000+$E$4,360)</f>
        <v>182.603217121679</v>
      </c>
      <c r="M15" s="28" t="n">
        <f aca="false">0.606433+1336.855225*K15 - INT(0.606433+1336.855225*K15)</f>
        <v>0.949263132634599</v>
      </c>
      <c r="N15" s="31" t="n">
        <f aca="false">22640*SIN(O15)-4586*SIN(O15-2*Q15)+2370*SIN(2*Q15)+769*SIN(2*O15)-668*SIN(P15)-412*SIN(2*R15)-212*SIN(2*O15-2*Q15)-206*SIN(O15+P15-2*Q15)+192*SIN(O15+2*Q15)-165*SIN(P15-2*Q15)-125*SIN(Q15)-110*SIN(O15+P15)+148*SIN(O15-P15)-55*SIN(2*R15-2*Q15)</f>
        <v>20694.2093286183</v>
      </c>
      <c r="O15" s="29" t="n">
        <f aca="false">2*PI()*(0.374897+1325.55241*K15 - INT(0.374897+1325.55241*K15))</f>
        <v>0.80215112194756</v>
      </c>
      <c r="P15" s="32" t="n">
        <f aca="false">2*PI()*(0.993133+99.997361*K15 - INT(0.993133+99.997361*K15))</f>
        <v>5.70332227718739</v>
      </c>
      <c r="Q15" s="32" t="n">
        <f aca="false">2*PI()*(0.827361+1236.853086*K15 - INT(0.827361+1236.853086*K15))</f>
        <v>1.59917943957083</v>
      </c>
      <c r="R15" s="32" t="n">
        <f aca="false">2*PI()*(0.259086+1342.227825*K15 - INT(0.259086+1342.227825*K15))</f>
        <v>5.23425332566724</v>
      </c>
      <c r="S15" s="32" t="n">
        <f aca="false">R15+(N15+412*SIN(2*R15)+541*SIN(P15))/206264.8062</f>
        <v>5.33141825165509</v>
      </c>
      <c r="T15" s="32" t="n">
        <f aca="false">R15-2*Q15</f>
        <v>2.03589444652559</v>
      </c>
      <c r="U15" s="24" t="n">
        <f aca="false">-526*SIN(T15)+44*SIN(O15+T15)-31*SIN(-O15+T15)-23*SIN(P15+T15)+11*SIN(-P15+T15)-25*SIN(-2*O15+R15)+21*SIN(-O15+R15)</f>
        <v>-512.009310792703</v>
      </c>
      <c r="V15" s="32" t="n">
        <f aca="false">2*PI()*(M15+N15/1296000-INT(M15+N15/1296000))</f>
        <v>6.06472452563957</v>
      </c>
      <c r="W15" s="31" t="n">
        <f aca="false">V15/$E$6</f>
        <v>347.483119228627</v>
      </c>
      <c r="X15" s="32" t="n">
        <f aca="false">(18520*SIN(S15)+U15)/206264.8062</f>
        <v>-0.0756090062178921</v>
      </c>
      <c r="Y15" s="32" t="n">
        <f aca="false">COS(X15)*COS(V15)</f>
        <v>0.973443101354761</v>
      </c>
      <c r="Z15" s="32" t="n">
        <f aca="false">COS(X15)*SIN(V15)</f>
        <v>-0.216108056165503</v>
      </c>
      <c r="AA15" s="32" t="n">
        <f aca="false">SIN(X15)</f>
        <v>-0.0755369875305597</v>
      </c>
      <c r="AB15" s="32" t="n">
        <f aca="false">COS($E$6*(23.4393-46.815*K15/3600))*Z15-SIN($E$6*(23.4393-46.815*K15/3600))*AA15</f>
        <v>-0.168236427971335</v>
      </c>
      <c r="AC15" s="32" t="n">
        <f aca="false">SIN($E$6*(23.4393-46.815*K15/3600))*Z15+COS($E$6*(23.4393-46.815*K15/3600))*AA15</f>
        <v>-0.155257955442772</v>
      </c>
      <c r="AD15" s="32" t="n">
        <f aca="false">SQRT(1-AC15*AC15)</f>
        <v>0.987873963252261</v>
      </c>
      <c r="AE15" s="31" t="n">
        <f aca="false">ATAN(AC15/AD15)/$E$6</f>
        <v>-8.93175712414567</v>
      </c>
      <c r="AF15" s="32" t="n">
        <f aca="false">IF(24*ATAN(AB15/(Y15+AD15))/PI()&gt;0,24*ATAN(AB15/(Y15+AD15))/PI(),24*ATAN(AB15/(Y15+AD15))/PI()+24)</f>
        <v>23.3463100025419</v>
      </c>
      <c r="AG15" s="31" t="n">
        <f aca="false">IF(L15-15*AF15&gt;0,L15-15*AF15,360+L15-15*AF15)</f>
        <v>192.408567083551</v>
      </c>
      <c r="AH15" s="29" t="n">
        <f aca="false">0.950724+0.051818*COS(O15)+0.009531*COS(2*Q15-O15)+0.007843*COS(2*Q15)+0.002824*COS(2*O15)+0.000857*COS(2*Q15+O15)+0.000533*COS(2*Q15-P15)*(1-0.002495*(J15-2415020)/36525)+0.000401*COS(2*Q15-P15-O15)*(1-0.002495*(J15-2415020)/36525)+0.00032*COS(O15-P15)*(1-0.002495*(J15-2415020)/36525)-0.000271*COS(Q15)</f>
        <v>0.970503435921611</v>
      </c>
      <c r="AI15" s="32" t="n">
        <f aca="false">ASIN(COS($E$6*$E$2)*COS($E$6*AE15)*COS($E$6*AG15)+SIN($E$6*$E$2)*SIN($E$6*AE15))/$E$6</f>
        <v>-47.6543207818298</v>
      </c>
      <c r="AJ15" s="29" t="n">
        <f aca="false">ASIN((0.9983271+0.0016764*COS($E$6*2*$E$2))*COS($E$6*AI15)*SIN($E$6*AH15))/$E$6</f>
        <v>0.652431995365667</v>
      </c>
      <c r="AK15" s="29" t="n">
        <f aca="false">AI15-AJ15</f>
        <v>-48.3067527771954</v>
      </c>
      <c r="AL15" s="31" t="n">
        <f aca="false"> MOD(280.4664567 + 360007.6982779*K15/10 + 0.03032028*K15^2/100 + K15^3/49931000,360)</f>
        <v>250.108999170228</v>
      </c>
      <c r="AM15" s="29" t="n">
        <f aca="false"> AL15 + (1.9146 - 0.004817*K15 - 0.000014*K15^2)*SIN(P15)+ (0.019993 - 0.000101*K15)*SIN(2*P15)+ 0.00029*SIN(3*P15)</f>
        <v>249.041984986423</v>
      </c>
      <c r="AN15" s="29" t="n">
        <f aca="false">ACOS(COS(V15-$E$6*AM15)*COS(X15))/$E$6</f>
        <v>98.4168426812211</v>
      </c>
      <c r="AO15" s="24" t="n">
        <f aca="false">180 - AN15 -0.1468*(1-0.0549*SIN(P15))*SIN($E$6*AN15)/(1-0.0167*SIN($E$6*AM15))</f>
        <v>81.435867248803</v>
      </c>
      <c r="AP15" s="48" t="n">
        <f aca="false">SIN($E$6*AG15)</f>
        <v>-0.214881360531376</v>
      </c>
      <c r="AQ15" s="48" t="n">
        <f aca="false">COS($E$6*AG15)*SIN($E$6*$E$2) - TAN($E$6*AE15)*COS($E$6*$E$2)</f>
        <v>-0.647126869582493</v>
      </c>
      <c r="AR15" s="48" t="n">
        <f aca="false">IF(OR(AND(AP15*AQ15&gt;0), AND(AP15&lt;0,AQ15&gt;0)), MOD(ATAN2(AQ15,AP15)/$E$6+360,360),  ATAN2(AQ15,AP15)/$E$6)</f>
        <v>198.368976685807</v>
      </c>
      <c r="AS15" s="20" t="n">
        <f aca="false"> 385000.56 + (-20905355*COS(O15) - 3699111*COS(2*Q15-O15) - 2955968*COS(2*Q15) - 569925*COS(2*O15) + (1-0.002516*K15)*48888*COS(P15) - 3149*COS(2*R15)  +246158*COS(2*Q15-2*O15) -(1-0.002516*K15)*152138*COS(2*Q15-P15-O15) -170733*COS(2*Q15+O15) -(1-0.002516*K15)*204586*COS(2*Q15-P15) -(1-0.002516*K15)*129620*COS(P15-O15)  + 108743*COS(Q15) +(1-0.002516*K15)*104755*COS(P15+O15) +10321*COS(2*Q15-2*R15) +79661*COS(O15-2*R15) -34782*COS(4*Q15-O15) -23210*COS(3*O15)  -21636*COS(4*Q15-2*O15) +(1-0.002516*K15)*24208*COS(2*Q15+P15-O15) +(1-0.002516*K15)*30824*COS(2*Q15+P15) -8379*COS(Q15-O15) -(1-0.002516*K15)*16675*COS(Q15+P15)  -(1-0.002516*K15)*12831*COS(2*Q15-P15+O15) -10445*COS(2*Q15+2*O15) -11650*COS(4*Q15) +14403*COS(2*Q15-3*O15) -(1-0.002516*K15)*7003*COS(P15-2*O15)  + (1-0.002516*K15)*10056*COS(2*Q15-P15-2*O15) +6322*COS(Q15+O15) -(1-0.002516*K15)*(1-0.002516*K15)*9884*COS(2*Q15-2*P15) +(1-0.002516*K15)*5751*COS(P15+2*O15) -(1-0.002516*K15)*(1-0.002516*K15)*4950*COS(2*Q15-2*P15-O15)  +4130*COS(2*Q15+O15-2*R15) -(1-0.002516*K15)*3958*COS(4*Q15-P15-O15) +3258*COS(3*Q15-O15) +(1-0.002516*K15)*2616*COS(2*Q15+P15+O15) -(1-0.002516*K15)*1897*COS(4*Q15-P15-2*O15)  -(1-0.002516*K15)*(1-0.002516*K15)*2117*COS(2*P15-O15) +(1-0.002516*K15)*(1-0.002516*K15)*2354*COS(2*Q15+2*P15-O15) -1423*COS(4*Q15+O15) -1117*COS(4*O15) -(1-0.002516*K15)*1571*COS(4*Q15-P15)  -1739*COS(Q15-2*O15) -4421*COS(2*O15-2*R15) +(1-0.002516*K15)*(1-0.002516*K15)*1165*COS(2*P15+O15) +8752*COS(2*Q15-O15-2*R15))/1000</f>
        <v>376563.661092523</v>
      </c>
      <c r="AT15" s="24" t="n">
        <f aca="false">60*ATAN(3476/AS15)/$E$6</f>
        <v>31.7323991257394</v>
      </c>
      <c r="AU15" s="28" t="n">
        <f aca="false">ATAN(0.99664719*TAN($E$6*input!$D$2))</f>
        <v>0.871010436227447</v>
      </c>
      <c r="AV15" s="28" t="n">
        <f aca="false">COS(AU15)</f>
        <v>0.644053912545846</v>
      </c>
      <c r="AW15" s="28" t="n">
        <f aca="false">0.99664719*SIN(AU15)</f>
        <v>0.762415269897027</v>
      </c>
      <c r="AX15" s="28" t="n">
        <f aca="false">6378.14/AS15</f>
        <v>0.0169377469442886</v>
      </c>
      <c r="AY15" s="31" t="n">
        <f aca="false">L15-15*AF15</f>
        <v>-167.591432916449</v>
      </c>
      <c r="AZ15" s="29" t="n">
        <f aca="false">COS($E$6*AE15)*SIN($E$6*AY15)</f>
        <v>-0.212275701257169</v>
      </c>
      <c r="BA15" s="29" t="n">
        <f aca="false">COS($E$6*AE15)*COS($E$6*AY15)-AV15*AX15</f>
        <v>-0.975706207098316</v>
      </c>
      <c r="BB15" s="29" t="n">
        <f aca="false">SIN($E$6*AE15)-AW15*AX15</f>
        <v>-0.16817155235075</v>
      </c>
      <c r="BC15" s="45" t="n">
        <f aca="false">SQRT(AZ15^2+BA15^2+BB15^2)</f>
        <v>1.01259332751824</v>
      </c>
      <c r="BD15" s="20" t="n">
        <f aca="false">AS15*BC15</f>
        <v>381305.850608129</v>
      </c>
      <c r="BE15" s="30" t="str">
        <f aca="false">IF(OR(AND(BD15&gt;BD14,BD15&gt;BD16),AND(BD15&lt;BD14,BD15&lt;BD16)),BD15,"")</f>
        <v/>
      </c>
    </row>
    <row r="16" customFormat="false" ht="15" hidden="false" customHeight="false" outlineLevel="0" collapsed="false">
      <c r="A16" s="31" t="n">
        <v>7</v>
      </c>
      <c r="B16" s="30" t="n">
        <f aca="false">$B$2</f>
        <v>1</v>
      </c>
      <c r="C16" s="30" t="n">
        <f aca="false">C15</f>
        <v>12</v>
      </c>
      <c r="D16" s="30" t="n">
        <f aca="false">$D$2</f>
        <v>2022</v>
      </c>
      <c r="E16" s="1"/>
      <c r="F16" s="38" t="n">
        <f aca="false">AK16</f>
        <v>-46.3543797703883</v>
      </c>
      <c r="G16" s="39" t="n">
        <f aca="false">F16+1.02/(TAN($E$6*(F16+10.3/(F16+5.11)))*60)</f>
        <v>-46.3704535609855</v>
      </c>
      <c r="H16" s="38" t="n">
        <f aca="false">100*(1+COS($E$6*AO16))/2</f>
        <v>57.6727099553079</v>
      </c>
      <c r="I16" s="38" t="n">
        <f aca="false">IF(AG16&gt;180, AR16-180,AR16+180)</f>
        <v>28.4306690831734</v>
      </c>
      <c r="J16" s="31" t="n">
        <f aca="false">INT(365.25*IF(C16&gt;2,D16+4716,D16-1+4716))+INT(30.6001*IF(C16&gt;2,C16+1,C16+12+1))+B16+A16/24+2-INT(IF(C16&gt;2,D16,D16-1)/100)+INT(INT(IF(C16&gt;2,D16,D16-1)/100)/4)-1524.5</f>
        <v>2459914.79166667</v>
      </c>
      <c r="K16" s="47" t="n">
        <f aca="false">(J16-2451545)/36525</f>
        <v>0.229152407027146</v>
      </c>
      <c r="L16" s="31" t="n">
        <f aca="false">MOD(280.46061837+360.98564736629*(J16-2451545)+0.000387933*K16^2-K16^3/38710000+$E$4,360)</f>
        <v>190.123751330189</v>
      </c>
      <c r="M16" s="28" t="n">
        <f aca="false">0.606433+1336.855225*K16 - INT(0.606433+1336.855225*K16)</f>
        <v>0.950025655566947</v>
      </c>
      <c r="N16" s="31" t="n">
        <f aca="false">22640*SIN(O16)-4586*SIN(O16-2*Q16)+2370*SIN(2*Q16)+769*SIN(2*O16)-668*SIN(P16)-412*SIN(2*R16)-212*SIN(2*O16-2*Q16)-206*SIN(O16+P16-2*Q16)+192*SIN(O16+2*Q16)-165*SIN(P16-2*Q16)-125*SIN(Q16)-110*SIN(O16+P16)+148*SIN(O16-P16)-55*SIN(2*R16-2*Q16)</f>
        <v>20731.4122538561</v>
      </c>
      <c r="O16" s="29" t="n">
        <f aca="false">2*PI()*(0.374897+1325.55241*K16 - INT(0.374897+1325.55241*K16))</f>
        <v>0.806901687371964</v>
      </c>
      <c r="P16" s="32" t="n">
        <f aca="false">2*PI()*(0.993133+99.997361*K16 - INT(0.993133+99.997361*K16))</f>
        <v>5.70368065155427</v>
      </c>
      <c r="Q16" s="32" t="n">
        <f aca="false">2*PI()*(0.827361+1236.853086*K16 - INT(0.827361+1236.853086*K16))</f>
        <v>1.60361212096551</v>
      </c>
      <c r="R16" s="32" t="n">
        <f aca="false">2*PI()*(0.259086+1342.227825*K16 - INT(0.259086+1342.227825*K16))</f>
        <v>5.23906365308169</v>
      </c>
      <c r="S16" s="32" t="n">
        <f aca="false">R16+(N16+412*SIN(2*R16)+541*SIN(P16))/206264.8062</f>
        <v>5.33640014441133</v>
      </c>
      <c r="T16" s="32" t="n">
        <f aca="false">R16-2*Q16</f>
        <v>2.03183941115066</v>
      </c>
      <c r="U16" s="24" t="n">
        <f aca="false">-526*SIN(T16)+44*SIN(O16+T16)-31*SIN(-O16+T16)-23*SIN(P16+T16)+11*SIN(-P16+T16)-25*SIN(-2*O16+R16)+21*SIN(-O16+R16)</f>
        <v>-512.952102819292</v>
      </c>
      <c r="V16" s="32" t="n">
        <f aca="false">2*PI()*(M16+N16/1296000-INT(M16+N16/1296000))</f>
        <v>6.06969596339581</v>
      </c>
      <c r="W16" s="31" t="n">
        <f aca="false">V16/$E$6</f>
        <v>347.767961630172</v>
      </c>
      <c r="X16" s="32" t="n">
        <f aca="false">(18520*SIN(S16)+U16)/206264.8062</f>
        <v>-0.0753531203211843</v>
      </c>
      <c r="Y16" s="32" t="n">
        <f aca="false">COS(X16)*COS(V16)</f>
        <v>0.974524293420283</v>
      </c>
      <c r="Z16" s="32" t="n">
        <f aca="false">COS(X16)*SIN(V16)</f>
        <v>-0.211270082053737</v>
      </c>
      <c r="AA16" s="32" t="n">
        <f aca="false">SIN(X16)</f>
        <v>-0.0752818302295165</v>
      </c>
      <c r="AB16" s="32" t="n">
        <f aca="false">COS($E$6*(23.4393-46.815*K16/3600))*Z16-SIN($E$6*(23.4393-46.815*K16/3600))*AA16</f>
        <v>-0.163899057348469</v>
      </c>
      <c r="AC16" s="32" t="n">
        <f aca="false">SIN($E$6*(23.4393-46.815*K16/3600))*Z16+COS($E$6*(23.4393-46.815*K16/3600))*AA16</f>
        <v>-0.153099642501156</v>
      </c>
      <c r="AD16" s="32" t="n">
        <f aca="false">SQRT(1-AC16*AC16)</f>
        <v>0.988210756603073</v>
      </c>
      <c r="AE16" s="31" t="n">
        <f aca="false">ATAN(AC16/AD16)/$E$6</f>
        <v>-8.80659834729083</v>
      </c>
      <c r="AF16" s="32" t="n">
        <f aca="false">IF(24*ATAN(AB16/(Y16+AD16))/PI()&gt;0,24*ATAN(AB16/(Y16+AD16))/PI(),24*ATAN(AB16/(Y16+AD16))/PI()+24)</f>
        <v>23.3635420495554</v>
      </c>
      <c r="AG16" s="31" t="n">
        <f aca="false">IF(L16-15*AF16&gt;0,L16-15*AF16,360+L16-15*AF16)</f>
        <v>199.670620586858</v>
      </c>
      <c r="AH16" s="29" t="n">
        <f aca="false">0.950724+0.051818*COS(O16)+0.009531*COS(2*Q16-O16)+0.007843*COS(2*Q16)+0.002824*COS(2*O16)+0.000857*COS(2*Q16+O16)+0.000533*COS(2*Q16-P16)*(1-0.002495*(J16-2415020)/36525)+0.000401*COS(2*Q16-P16-O16)*(1-0.002495*(J16-2415020)/36525)+0.00032*COS(O16-P16)*(1-0.002495*(J16-2415020)/36525)-0.000271*COS(Q16)</f>
        <v>0.970288142765845</v>
      </c>
      <c r="AI16" s="32" t="n">
        <f aca="false">ASIN(COS($E$6*$E$2)*COS($E$6*AE16)*COS($E$6*AG16)+SIN($E$6*$E$2)*SIN($E$6*AE16))/$E$6</f>
        <v>-45.6777947000856</v>
      </c>
      <c r="AJ16" s="29" t="n">
        <f aca="false">ASIN((0.9983271+0.0016764*COS($E$6*2*$E$2))*COS($E$6*AI16)*SIN($E$6*AH16))/$E$6</f>
        <v>0.676585070302707</v>
      </c>
      <c r="AK16" s="29" t="n">
        <f aca="false">AI16-AJ16</f>
        <v>-46.3543797703883</v>
      </c>
      <c r="AL16" s="31" t="n">
        <f aca="false"> MOD(280.4664567 + 360007.6982779*K16/10 + 0.03032028*K16^2/100 + K16^3/49931000,360)</f>
        <v>250.129533490002</v>
      </c>
      <c r="AM16" s="29" t="n">
        <f aca="false"> AL16 + (1.9146 - 0.004817*K16 - 0.000014*K16^2)*SIN(P16)+ (0.019993 - 0.000101*K16)*SIN(2*P16)+ 0.00029*SIN(3*P16)</f>
        <v>249.063098700868</v>
      </c>
      <c r="AN16" s="29" t="n">
        <f aca="false">ACOS(COS(V16-$E$6*AM16)*COS(X16))/$E$6</f>
        <v>98.6799701091399</v>
      </c>
      <c r="AO16" s="24" t="n">
        <f aca="false">180 - AN16 -0.1468*(1-0.0549*SIN(P16))*SIN($E$6*AN16)/(1-0.0167*SIN($E$6*AM16))</f>
        <v>81.1728441329757</v>
      </c>
      <c r="AP16" s="48" t="n">
        <f aca="false">SIN($E$6*AG16)</f>
        <v>-0.336612458638224</v>
      </c>
      <c r="AQ16" s="48" t="n">
        <f aca="false">COS($E$6*AG16)*SIN($E$6*$E$2) - TAN($E$6*AE16)*COS($E$6*$E$2)</f>
        <v>-0.621756016216739</v>
      </c>
      <c r="AR16" s="48" t="n">
        <f aca="false">IF(OR(AND(AP16*AQ16&gt;0), AND(AP16&lt;0,AQ16&gt;0)), MOD(ATAN2(AQ16,AP16)/$E$6+360,360),  ATAN2(AQ16,AP16)/$E$6)</f>
        <v>208.430669083173</v>
      </c>
      <c r="AS16" s="20" t="n">
        <f aca="false"> 385000.56 + (-20905355*COS(O16) - 3699111*COS(2*Q16-O16) - 2955968*COS(2*Q16) - 569925*COS(2*O16) + (1-0.002516*K16)*48888*COS(P16) - 3149*COS(2*R16)  +246158*COS(2*Q16-2*O16) -(1-0.002516*K16)*152138*COS(2*Q16-P16-O16) -170733*COS(2*Q16+O16) -(1-0.002516*K16)*204586*COS(2*Q16-P16) -(1-0.002516*K16)*129620*COS(P16-O16)  + 108743*COS(Q16) +(1-0.002516*K16)*104755*COS(P16+O16) +10321*COS(2*Q16-2*R16) +79661*COS(O16-2*R16) -34782*COS(4*Q16-O16) -23210*COS(3*O16)  -21636*COS(4*Q16-2*O16) +(1-0.002516*K16)*24208*COS(2*Q16+P16-O16) +(1-0.002516*K16)*30824*COS(2*Q16+P16) -8379*COS(Q16-O16) -(1-0.002516*K16)*16675*COS(Q16+P16)  -(1-0.002516*K16)*12831*COS(2*Q16-P16+O16) -10445*COS(2*Q16+2*O16) -11650*COS(4*Q16) +14403*COS(2*Q16-3*O16) -(1-0.002516*K16)*7003*COS(P16-2*O16)  + (1-0.002516*K16)*10056*COS(2*Q16-P16-2*O16) +6322*COS(Q16+O16) -(1-0.002516*K16)*(1-0.002516*K16)*9884*COS(2*Q16-2*P16) +(1-0.002516*K16)*5751*COS(P16+2*O16) -(1-0.002516*K16)*(1-0.002516*K16)*4950*COS(2*Q16-2*P16-O16)  +4130*COS(2*Q16+O16-2*R16) -(1-0.002516*K16)*3958*COS(4*Q16-P16-O16) +3258*COS(3*Q16-O16) +(1-0.002516*K16)*2616*COS(2*Q16+P16+O16) -(1-0.002516*K16)*1897*COS(4*Q16-P16-2*O16)  -(1-0.002516*K16)*(1-0.002516*K16)*2117*COS(2*P16-O16) +(1-0.002516*K16)*(1-0.002516*K16)*2354*COS(2*Q16+2*P16-O16) -1423*COS(4*Q16+O16) -1117*COS(4*O16) -(1-0.002516*K16)*1571*COS(4*Q16-P16)  -1739*COS(Q16-2*O16) -4421*COS(2*O16-2*R16) +(1-0.002516*K16)*(1-0.002516*K16)*1165*COS(2*P16+O16) +8752*COS(2*Q16-O16-2*R16))/1000</f>
        <v>376645.993934827</v>
      </c>
      <c r="AT16" s="24" t="n">
        <f aca="false">60*ATAN(3476/AS16)/$E$6</f>
        <v>31.7254629833049</v>
      </c>
      <c r="AU16" s="28" t="n">
        <f aca="false">ATAN(0.99664719*TAN($E$6*input!$D$2))</f>
        <v>0.871010436227447</v>
      </c>
      <c r="AV16" s="28" t="n">
        <f aca="false">COS(AU16)</f>
        <v>0.644053912545846</v>
      </c>
      <c r="AW16" s="28" t="n">
        <f aca="false">0.99664719*SIN(AU16)</f>
        <v>0.762415269897027</v>
      </c>
      <c r="AX16" s="28" t="n">
        <f aca="false">6378.14/AS16</f>
        <v>0.0169340444414859</v>
      </c>
      <c r="AY16" s="31" t="n">
        <f aca="false">L16-15*AF16</f>
        <v>-160.329379413142</v>
      </c>
      <c r="AZ16" s="29" t="n">
        <f aca="false">COS($E$6*AE16)*SIN($E$6*AY16)</f>
        <v>-0.3326440524329</v>
      </c>
      <c r="BA16" s="29" t="n">
        <f aca="false">COS($E$6*AE16)*COS($E$6*AY16)-AV16*AX16</f>
        <v>-0.941448448368807</v>
      </c>
      <c r="BB16" s="29" t="n">
        <f aca="false">SIN($E$6*AE16)-AW16*AX16</f>
        <v>-0.16601041656446</v>
      </c>
      <c r="BC16" s="45" t="n">
        <f aca="false">SQRT(AZ16^2+BA16^2+BB16^2)</f>
        <v>1.01219400559523</v>
      </c>
      <c r="BD16" s="20" t="n">
        <f aca="false">AS16*BC16</f>
        <v>381238.81729229</v>
      </c>
      <c r="BE16" s="30" t="str">
        <f aca="false">IF(OR(AND(BD16&gt;BD15,BD16&gt;BD17),AND(BD16&lt;BD15,BD16&lt;BD17)),BD16,"")</f>
        <v/>
      </c>
    </row>
    <row r="17" customFormat="false" ht="15" hidden="false" customHeight="false" outlineLevel="0" collapsed="false">
      <c r="A17" s="31" t="n">
        <v>7.5</v>
      </c>
      <c r="B17" s="30" t="n">
        <f aca="false">$B$2</f>
        <v>1</v>
      </c>
      <c r="C17" s="30" t="n">
        <f aca="false">C16</f>
        <v>12</v>
      </c>
      <c r="D17" s="30" t="n">
        <f aca="false">$D$2</f>
        <v>2022</v>
      </c>
      <c r="F17" s="38" t="n">
        <f aca="false">AK17</f>
        <v>-43.7181776435054</v>
      </c>
      <c r="G17" s="39" t="n">
        <f aca="false">F17+1.02/(TAN($E$6*(F17+10.3/(F17+5.11)))*60)</f>
        <v>-43.7357909086997</v>
      </c>
      <c r="H17" s="38" t="n">
        <f aca="false">100*(1+COS($E$6*AO17))/2</f>
        <v>57.8993325029436</v>
      </c>
      <c r="I17" s="38" t="n">
        <f aca="false">IF(AG17&gt;180, AR17-180,AR17+180)</f>
        <v>37.7584768537834</v>
      </c>
      <c r="J17" s="31" t="n">
        <f aca="false">INT(365.25*IF(C17&gt;2,D17+4716,D17-1+4716))+INT(30.6001*IF(C17&gt;2,C17+1,C17+12+1))+B17+A17/24+2-INT(IF(C17&gt;2,D17,D17-1)/100)+INT(INT(IF(C17&gt;2,D17,D17-1)/100)/4)-1524.5</f>
        <v>2459914.8125</v>
      </c>
      <c r="K17" s="47" t="n">
        <f aca="false">(J17-2451545)/36525</f>
        <v>0.229152977412731</v>
      </c>
      <c r="L17" s="31" t="n">
        <f aca="false">MOD(280.46061837+360.98564736629*(J17-2451545)+0.000387933*K17^2-K17^3/38710000+$E$4,360)</f>
        <v>197.644285706338</v>
      </c>
      <c r="M17" s="28" t="n">
        <f aca="false">0.606433+1336.855225*K17 - INT(0.606433+1336.855225*K17)</f>
        <v>0.950788178516405</v>
      </c>
      <c r="N17" s="31" t="n">
        <f aca="false">22640*SIN(O17)-4586*SIN(O17-2*Q17)+2370*SIN(2*Q17)+769*SIN(2*O17)-668*SIN(P17)-412*SIN(2*R17)-212*SIN(2*O17-2*Q17)-206*SIN(O17+P17-2*Q17)+192*SIN(O17+2*Q17)-165*SIN(P17-2*Q17)-125*SIN(Q17)-110*SIN(O17+P17)+148*SIN(O17-P17)-55*SIN(2*R17-2*Q17)</f>
        <v>20768.137665509</v>
      </c>
      <c r="O17" s="29" t="n">
        <f aca="false">2*PI()*(0.374897+1325.55241*K17 - INT(0.374897+1325.55241*K17))</f>
        <v>0.811652252902443</v>
      </c>
      <c r="P17" s="32" t="n">
        <f aca="false">2*PI()*(0.993133+99.997361*K17 - INT(0.993133+99.997361*K17))</f>
        <v>5.70403902592916</v>
      </c>
      <c r="Q17" s="32" t="n">
        <f aca="false">2*PI()*(0.827361+1236.853086*K17 - INT(0.827361+1236.853086*K17))</f>
        <v>1.60804480245949</v>
      </c>
      <c r="R17" s="32" t="n">
        <f aca="false">2*PI()*(0.259086+1342.227825*K17 - INT(0.259086+1342.227825*K17))</f>
        <v>5.24387398060364</v>
      </c>
      <c r="S17" s="32" t="n">
        <f aca="false">R17+(N17+412*SIN(2*R17)+541*SIN(P17))/206264.8062</f>
        <v>5.34137988308015</v>
      </c>
      <c r="T17" s="32" t="n">
        <f aca="false">R17-2*Q17</f>
        <v>2.02778437568465</v>
      </c>
      <c r="U17" s="24" t="n">
        <f aca="false">-526*SIN(T17)+44*SIN(O17+T17)-31*SIN(-O17+T17)-23*SIN(P17+T17)+11*SIN(-P17+T17)-25*SIN(-2*O17+R17)+21*SIN(-O17+R17)</f>
        <v>-513.884945765541</v>
      </c>
      <c r="V17" s="32" t="n">
        <f aca="false">2*PI()*(M17+N17/1296000-INT(M17+N17/1296000))</f>
        <v>6.07466508620836</v>
      </c>
      <c r="W17" s="31" t="n">
        <f aca="false">V17/$E$6</f>
        <v>348.052671395214</v>
      </c>
      <c r="X17" s="32" t="n">
        <f aca="false">(18520*SIN(S17)+U17)/206264.8062</f>
        <v>-0.0750954914963963</v>
      </c>
      <c r="Y17" s="32" t="n">
        <f aca="false">COS(X17)*COS(V17)</f>
        <v>0.97558102681421</v>
      </c>
      <c r="Z17" s="32" t="n">
        <f aca="false">COS(X17)*SIN(V17)</f>
        <v>-0.206428970837714</v>
      </c>
      <c r="AA17" s="32" t="n">
        <f aca="false">SIN(X17)</f>
        <v>-0.0750249299834008</v>
      </c>
      <c r="AB17" s="32" t="n">
        <f aca="false">COS($E$6*(23.4393-46.815*K17/3600))*Z17-SIN($E$6*(23.4393-46.815*K17/3600))*AA17</f>
        <v>-0.159559501644268</v>
      </c>
      <c r="AC17" s="32" t="n">
        <f aca="false">SIN($E$6*(23.4393-46.815*K17/3600))*Z17+COS($E$6*(23.4393-46.815*K17/3600))*AA17</f>
        <v>-0.150938482684717</v>
      </c>
      <c r="AD17" s="32" t="n">
        <f aca="false">SQRT(1-AC17*AC17)</f>
        <v>0.988543157603569</v>
      </c>
      <c r="AE17" s="31" t="n">
        <f aca="false">ATAN(AC17/AD17)/$E$6</f>
        <v>-8.68131690875651</v>
      </c>
      <c r="AF17" s="32" t="n">
        <f aca="false">IF(24*ATAN(AB17/(Y17+AD17))/PI()&gt;0,24*ATAN(AB17/(Y17+AD17))/PI(),24*ATAN(AB17/(Y17+AD17))/PI()+24)</f>
        <v>23.3807550828078</v>
      </c>
      <c r="AG17" s="31" t="n">
        <f aca="false">IF(L17-15*AF17&gt;0,L17-15*AF17,360+L17-15*AF17)</f>
        <v>206.932959464221</v>
      </c>
      <c r="AH17" s="29" t="n">
        <f aca="false">0.950724+0.051818*COS(O17)+0.009531*COS(2*Q17-O17)+0.007843*COS(2*Q17)+0.002824*COS(2*O17)+0.000857*COS(2*Q17+O17)+0.000533*COS(2*Q17-P17)*(1-0.002495*(J17-2415020)/36525)+0.000401*COS(2*Q17-P17-O17)*(1-0.002495*(J17-2415020)/36525)+0.00032*COS(O17-P17)*(1-0.002495*(J17-2415020)/36525)-0.000271*COS(Q17)</f>
        <v>0.97007292288209</v>
      </c>
      <c r="AI17" s="32" t="n">
        <f aca="false">ASIN(COS($E$6*$E$2)*COS($E$6*AE17)*COS($E$6*AG17)+SIN($E$6*$E$2)*SIN($E$6*AE17))/$E$6</f>
        <v>-43.0102384262633</v>
      </c>
      <c r="AJ17" s="29" t="n">
        <f aca="false">ASIN((0.9983271+0.0016764*COS($E$6*2*$E$2))*COS($E$6*AI17)*SIN($E$6*AH17))/$E$6</f>
        <v>0.707939217242108</v>
      </c>
      <c r="AK17" s="29" t="n">
        <f aca="false">AI17-AJ17</f>
        <v>-43.7181776435054</v>
      </c>
      <c r="AL17" s="31" t="n">
        <f aca="false"> MOD(280.4664567 + 360007.6982779*K17/10 + 0.03032028*K17^2/100 + K17^3/49931000,360)</f>
        <v>250.150067810238</v>
      </c>
      <c r="AM17" s="29" t="n">
        <f aca="false"> AL17 + (1.9146 - 0.004817*K17 - 0.000014*K17^2)*SIN(P17)+ (0.019993 - 0.000101*K17)*SIN(2*P17)+ 0.00029*SIN(3*P17)</f>
        <v>249.084212560097</v>
      </c>
      <c r="AN17" s="29" t="n">
        <f aca="false">ACOS(COS(V17-$E$6*AM17)*COS(X17))/$E$6</f>
        <v>98.9429750710923</v>
      </c>
      <c r="AO17" s="24" t="n">
        <f aca="false">180 - AN17 -0.1468*(1-0.0549*SIN(P17))*SIN($E$6*AN17)/(1-0.0167*SIN($E$6*AM17))</f>
        <v>80.9099465343503</v>
      </c>
      <c r="AP17" s="48" t="n">
        <f aca="false">SIN($E$6*AG17)</f>
        <v>-0.452947641997643</v>
      </c>
      <c r="AQ17" s="48" t="n">
        <f aca="false">COS($E$6*AG17)*SIN($E$6*$E$2) - TAN($E$6*AE17)*COS($E$6*$E$2)</f>
        <v>-0.584811227662502</v>
      </c>
      <c r="AR17" s="48" t="n">
        <f aca="false">IF(OR(AND(AP17*AQ17&gt;0), AND(AP17&lt;0,AQ17&gt;0)), MOD(ATAN2(AQ17,AP17)/$E$6+360,360),  ATAN2(AQ17,AP17)/$E$6)</f>
        <v>217.758476853783</v>
      </c>
      <c r="AS17" s="20" t="n">
        <f aca="false"> 385000.56 + (-20905355*COS(O17) - 3699111*COS(2*Q17-O17) - 2955968*COS(2*Q17) - 569925*COS(2*O17) + (1-0.002516*K17)*48888*COS(P17) - 3149*COS(2*R17)  +246158*COS(2*Q17-2*O17) -(1-0.002516*K17)*152138*COS(2*Q17-P17-O17) -170733*COS(2*Q17+O17) -(1-0.002516*K17)*204586*COS(2*Q17-P17) -(1-0.002516*K17)*129620*COS(P17-O17)  + 108743*COS(Q17) +(1-0.002516*K17)*104755*COS(P17+O17) +10321*COS(2*Q17-2*R17) +79661*COS(O17-2*R17) -34782*COS(4*Q17-O17) -23210*COS(3*O17)  -21636*COS(4*Q17-2*O17) +(1-0.002516*K17)*24208*COS(2*Q17+P17-O17) +(1-0.002516*K17)*30824*COS(2*Q17+P17) -8379*COS(Q17-O17) -(1-0.002516*K17)*16675*COS(Q17+P17)  -(1-0.002516*K17)*12831*COS(2*Q17-P17+O17) -10445*COS(2*Q17+2*O17) -11650*COS(4*Q17) +14403*COS(2*Q17-3*O17) -(1-0.002516*K17)*7003*COS(P17-2*O17)  + (1-0.002516*K17)*10056*COS(2*Q17-P17-2*O17) +6322*COS(Q17+O17) -(1-0.002516*K17)*(1-0.002516*K17)*9884*COS(2*Q17-2*P17) +(1-0.002516*K17)*5751*COS(P17+2*O17) -(1-0.002516*K17)*(1-0.002516*K17)*4950*COS(2*Q17-2*P17-O17)  +4130*COS(2*Q17+O17-2*R17) -(1-0.002516*K17)*3958*COS(4*Q17-P17-O17) +3258*COS(3*Q17-O17) +(1-0.002516*K17)*2616*COS(2*Q17+P17+O17) -(1-0.002516*K17)*1897*COS(4*Q17-P17-2*O17)  -(1-0.002516*K17)*(1-0.002516*K17)*2117*COS(2*P17-O17) +(1-0.002516*K17)*(1-0.002516*K17)*2354*COS(2*Q17+2*P17-O17) -1423*COS(4*Q17+O17) -1117*COS(4*O17) -(1-0.002516*K17)*1571*COS(4*Q17-P17)  -1739*COS(Q17-2*O17) -4421*COS(2*O17-2*R17) +(1-0.002516*K17)*(1-0.002516*K17)*1165*COS(2*P17+O17) +8752*COS(2*Q17-O17-2*R17))/1000</f>
        <v>376728.346575903</v>
      </c>
      <c r="AT17" s="24" t="n">
        <f aca="false">60*ATAN(3476/AS17)/$E$6</f>
        <v>31.7185282055015</v>
      </c>
      <c r="AU17" s="28" t="n">
        <f aca="false">ATAN(0.99664719*TAN($E$6*input!$D$2))</f>
        <v>0.871010436227447</v>
      </c>
      <c r="AV17" s="28" t="n">
        <f aca="false">COS(AU17)</f>
        <v>0.644053912545846</v>
      </c>
      <c r="AW17" s="28" t="n">
        <f aca="false">0.99664719*SIN(AU17)</f>
        <v>0.762415269897027</v>
      </c>
      <c r="AX17" s="28" t="n">
        <f aca="false">6378.14/AS17</f>
        <v>0.0169303426672592</v>
      </c>
      <c r="AY17" s="31" t="n">
        <f aca="false">L17-15*AF17</f>
        <v>-153.067040535779</v>
      </c>
      <c r="AZ17" s="29" t="n">
        <f aca="false">COS($E$6*AE17)*SIN($E$6*AY17)</f>
        <v>-0.447758292249441</v>
      </c>
      <c r="BA17" s="29" t="n">
        <f aca="false">COS($E$6*AE17)*COS($E$6*AY17)-AV17*AX17</f>
        <v>-0.892226971648148</v>
      </c>
      <c r="BB17" s="29" t="n">
        <f aca="false">SIN($E$6*AE17)-AW17*AX17</f>
        <v>-0.163846434458825</v>
      </c>
      <c r="BC17" s="45" t="n">
        <f aca="false">SQRT(AZ17^2+BA17^2+BB17^2)</f>
        <v>1.01163338779393</v>
      </c>
      <c r="BD17" s="20" t="n">
        <f aca="false">AS17*BC17</f>
        <v>381110.973524588</v>
      </c>
      <c r="BE17" s="30" t="str">
        <f aca="false">IF(OR(AND(BD17&gt;BD16,BD17&gt;BD18),AND(BD17&lt;BD16,BD17&lt;BD18)),BD17,"")</f>
        <v/>
      </c>
    </row>
    <row r="18" customFormat="false" ht="15" hidden="false" customHeight="false" outlineLevel="0" collapsed="false">
      <c r="A18" s="31" t="n">
        <v>8</v>
      </c>
      <c r="B18" s="30" t="n">
        <f aca="false">$B$2</f>
        <v>1</v>
      </c>
      <c r="C18" s="30" t="n">
        <f aca="false">C17</f>
        <v>12</v>
      </c>
      <c r="D18" s="30" t="n">
        <f aca="false">$D$2</f>
        <v>2022</v>
      </c>
      <c r="F18" s="38" t="n">
        <f aca="false">AK18</f>
        <v>-40.5146173679581</v>
      </c>
      <c r="G18" s="39" t="n">
        <f aca="false">F18+1.02/(TAN($E$6*(F18+10.3/(F18+5.11)))*60)</f>
        <v>-40.5343082081261</v>
      </c>
      <c r="H18" s="38" t="n">
        <f aca="false">100*(1+COS($E$6*AO18))/2</f>
        <v>58.1256807897544</v>
      </c>
      <c r="I18" s="38" t="n">
        <f aca="false">IF(AG18&gt;180, AR18-180,AR18+180)</f>
        <v>46.309089417541</v>
      </c>
      <c r="J18" s="31" t="n">
        <f aca="false">INT(365.25*IF(C18&gt;2,D18+4716,D18-1+4716))+INT(30.6001*IF(C18&gt;2,C18+1,C18+12+1))+B18+A18/24+2-INT(IF(C18&gt;2,D18,D18-1)/100)+INT(INT(IF(C18&gt;2,D18,D18-1)/100)/4)-1524.5</f>
        <v>2459914.83333333</v>
      </c>
      <c r="K18" s="47" t="n">
        <f aca="false">(J18-2451545)/36525</f>
        <v>0.229153547798316</v>
      </c>
      <c r="L18" s="31" t="n">
        <f aca="false">MOD(280.46061837+360.98564736629*(J18-2451545)+0.000387933*K18^2-K18^3/38710000+$E$4,360)</f>
        <v>205.164820082486</v>
      </c>
      <c r="M18" s="28" t="n">
        <f aca="false">0.606433+1336.855225*K18 - INT(0.606433+1336.855225*K18)</f>
        <v>0.951550701465862</v>
      </c>
      <c r="N18" s="31" t="n">
        <f aca="false">22640*SIN(O18)-4586*SIN(O18-2*Q18)+2370*SIN(2*Q18)+769*SIN(2*O18)-668*SIN(P18)-412*SIN(2*R18)-212*SIN(2*O18-2*Q18)-206*SIN(O18+P18-2*Q18)+192*SIN(O18+2*Q18)-165*SIN(P18-2*Q18)-125*SIN(Q18)-110*SIN(O18+P18)+148*SIN(O18-P18)-55*SIN(2*R18-2*Q18)</f>
        <v>20804.3860352476</v>
      </c>
      <c r="O18" s="29" t="n">
        <f aca="false">2*PI()*(0.374897+1325.55241*K18 - INT(0.374897+1325.55241*K18))</f>
        <v>0.81640281843328</v>
      </c>
      <c r="P18" s="32" t="n">
        <f aca="false">2*PI()*(0.993133+99.997361*K18 - INT(0.993133+99.997361*K18))</f>
        <v>5.70439740030406</v>
      </c>
      <c r="Q18" s="32" t="n">
        <f aca="false">2*PI()*(0.827361+1236.853086*K18 - INT(0.827361+1236.853086*K18))</f>
        <v>1.61247748395311</v>
      </c>
      <c r="R18" s="32" t="n">
        <f aca="false">2*PI()*(0.259086+1342.227825*K18 - INT(0.259086+1342.227825*K18))</f>
        <v>5.24868430812594</v>
      </c>
      <c r="S18" s="32" t="n">
        <f aca="false">R18+(N18+412*SIN(2*R18)+541*SIN(P18))/206264.8062</f>
        <v>5.34635747071361</v>
      </c>
      <c r="T18" s="32" t="n">
        <f aca="false">R18-2*Q18</f>
        <v>2.02372934021972</v>
      </c>
      <c r="U18" s="24" t="n">
        <f aca="false">-526*SIN(T18)+44*SIN(O18+T18)-31*SIN(-O18+T18)-23*SIN(P18+T18)+11*SIN(-P18+T18)-25*SIN(-2*O18+R18)+21*SIN(-O18+R18)</f>
        <v>-514.807829986272</v>
      </c>
      <c r="V18" s="32" t="n">
        <f aca="false">2*PI()*(M18+N18/1296000-INT(M18+N18/1296000))</f>
        <v>6.07963189625646</v>
      </c>
      <c r="W18" s="31" t="n">
        <f aca="false">V18/$E$6</f>
        <v>348.337248648613</v>
      </c>
      <c r="X18" s="32" t="n">
        <f aca="false">(18520*SIN(S18)+U18)/206264.8062</f>
        <v>-0.0748361283758389</v>
      </c>
      <c r="Y18" s="32" t="n">
        <f aca="false">COS(X18)*COS(V18)</f>
        <v>0.976613306823842</v>
      </c>
      <c r="Z18" s="32" t="n">
        <f aca="false">COS(X18)*SIN(V18)</f>
        <v>-0.201584845708435</v>
      </c>
      <c r="AA18" s="32" t="n">
        <f aca="false">SIN(X18)</f>
        <v>-0.0747662953161766</v>
      </c>
      <c r="AB18" s="32" t="n">
        <f aca="false">COS($E$6*(23.4393-46.815*K18/3600))*Z18-SIN($E$6*(23.4393-46.815*K18/3600))*AA18</f>
        <v>-0.155217870496575</v>
      </c>
      <c r="AC18" s="32" t="n">
        <f aca="false">SIN($E$6*(23.4393-46.815*K18/3600))*Z18+COS($E$6*(23.4393-46.815*K18/3600))*AA18</f>
        <v>-0.148774532810922</v>
      </c>
      <c r="AD18" s="32" t="n">
        <f aca="false">SQRT(1-AC18*AC18)</f>
        <v>0.988871143469609</v>
      </c>
      <c r="AE18" s="31" t="n">
        <f aca="false">ATAN(AC18/AD18)/$E$6</f>
        <v>-8.55591562559025</v>
      </c>
      <c r="AF18" s="32" t="n">
        <f aca="false">IF(24*ATAN(AB18/(Y18+AD18))/PI()&gt;0,24*ATAN(AB18/(Y18+AD18))/PI(),24*ATAN(AB18/(Y18+AD18))/PI()+24)</f>
        <v>23.3979492863655</v>
      </c>
      <c r="AG18" s="31" t="n">
        <f aca="false">IF(L18-15*AF18&gt;0,L18-15*AF18,360+L18-15*AF18)</f>
        <v>214.195580787003</v>
      </c>
      <c r="AH18" s="29" t="n">
        <f aca="false">0.950724+0.051818*COS(O18)+0.009531*COS(2*Q18-O18)+0.007843*COS(2*Q18)+0.002824*COS(2*O18)+0.000857*COS(2*Q18+O18)+0.000533*COS(2*Q18-P18)*(1-0.002495*(J18-2415020)/36525)+0.000401*COS(2*Q18-P18-O18)*(1-0.002495*(J18-2415020)/36525)+0.00032*COS(O18-P18)*(1-0.002495*(J18-2415020)/36525)-0.000271*COS(Q18)</f>
        <v>0.969857780922314</v>
      </c>
      <c r="AI18" s="32" t="n">
        <f aca="false">ASIN(COS($E$6*$E$2)*COS($E$6*AE18)*COS($E$6*AG18)+SIN($E$6*$E$2)*SIN($E$6*AE18))/$E$6</f>
        <v>-39.7706524002821</v>
      </c>
      <c r="AJ18" s="29" t="n">
        <f aca="false">ASIN((0.9983271+0.0016764*COS($E$6*2*$E$2))*COS($E$6*AI18)*SIN($E$6*AH18))/$E$6</f>
        <v>0.743964967676044</v>
      </c>
      <c r="AK18" s="29" t="n">
        <f aca="false">AI18-AJ18</f>
        <v>-40.5146173679581</v>
      </c>
      <c r="AL18" s="31" t="n">
        <f aca="false"> MOD(280.4664567 + 360007.6982779*K18/10 + 0.03032028*K18^2/100 + K18^3/49931000,360)</f>
        <v>250.170602130473</v>
      </c>
      <c r="AM18" s="29" t="n">
        <f aca="false"> AL18 + (1.9146 - 0.004817*K18 - 0.000014*K18^2)*SIN(P18)+ (0.019993 - 0.000101*K18)*SIN(2*P18)+ 0.00029*SIN(3*P18)</f>
        <v>249.105326563555</v>
      </c>
      <c r="AN18" s="29" t="n">
        <f aca="false">ACOS(COS(V18-$E$6*AM18)*COS(X18))/$E$6</f>
        <v>99.2058577081229</v>
      </c>
      <c r="AO18" s="24" t="n">
        <f aca="false">180 - AN18 -0.1468*(1-0.0549*SIN(P18))*SIN($E$6*AN18)/(1-0.0167*SIN($E$6*AM18))</f>
        <v>80.6471743052372</v>
      </c>
      <c r="AP18" s="48" t="n">
        <f aca="false">SIN($E$6*AG18)</f>
        <v>-0.562019583606813</v>
      </c>
      <c r="AQ18" s="48" t="n">
        <f aca="false">COS($E$6*AG18)*SIN($E$6*$E$2) - TAN($E$6*AE18)*COS($E$6*$E$2)</f>
        <v>-0.536907025789892</v>
      </c>
      <c r="AR18" s="48" t="n">
        <f aca="false">IF(OR(AND(AP18*AQ18&gt;0), AND(AP18&lt;0,AQ18&gt;0)), MOD(ATAN2(AQ18,AP18)/$E$6+360,360),  ATAN2(AQ18,AP18)/$E$6)</f>
        <v>226.309089417541</v>
      </c>
      <c r="AS18" s="20" t="n">
        <f aca="false"> 385000.56 + (-20905355*COS(O18) - 3699111*COS(2*Q18-O18) - 2955968*COS(2*Q18) - 569925*COS(2*O18) + (1-0.002516*K18)*48888*COS(P18) - 3149*COS(2*R18)  +246158*COS(2*Q18-2*O18) -(1-0.002516*K18)*152138*COS(2*Q18-P18-O18) -170733*COS(2*Q18+O18) -(1-0.002516*K18)*204586*COS(2*Q18-P18) -(1-0.002516*K18)*129620*COS(P18-O18)  + 108743*COS(Q18) +(1-0.002516*K18)*104755*COS(P18+O18) +10321*COS(2*Q18-2*R18) +79661*COS(O18-2*R18) -34782*COS(4*Q18-O18) -23210*COS(3*O18)  -21636*COS(4*Q18-2*O18) +(1-0.002516*K18)*24208*COS(2*Q18+P18-O18) +(1-0.002516*K18)*30824*COS(2*Q18+P18) -8379*COS(Q18-O18) -(1-0.002516*K18)*16675*COS(Q18+P18)  -(1-0.002516*K18)*12831*COS(2*Q18-P18+O18) -10445*COS(2*Q18+2*O18) -11650*COS(4*Q18) +14403*COS(2*Q18-3*O18) -(1-0.002516*K18)*7003*COS(P18-2*O18)  + (1-0.002516*K18)*10056*COS(2*Q18-P18-2*O18) +6322*COS(Q18+O18) -(1-0.002516*K18)*(1-0.002516*K18)*9884*COS(2*Q18-2*P18) +(1-0.002516*K18)*5751*COS(P18+2*O18) -(1-0.002516*K18)*(1-0.002516*K18)*4950*COS(2*Q18-2*P18-O18)  +4130*COS(2*Q18+O18-2*R18) -(1-0.002516*K18)*3958*COS(4*Q18-P18-O18) +3258*COS(3*Q18-O18) +(1-0.002516*K18)*2616*COS(2*Q18+P18+O18) -(1-0.002516*K18)*1897*COS(4*Q18-P18-2*O18)  -(1-0.002516*K18)*(1-0.002516*K18)*2117*COS(2*P18-O18) +(1-0.002516*K18)*(1-0.002516*K18)*2354*COS(2*Q18+2*P18-O18) -1423*COS(4*Q18+O18) -1117*COS(4*O18) -(1-0.002516*K18)*1571*COS(4*Q18-P18)  -1739*COS(Q18-2*O18) -4421*COS(2*O18-2*R18) +(1-0.002516*K18)*(1-0.002516*K18)*1165*COS(2*P18+O18) +8752*COS(2*Q18-O18-2*R18))/1000</f>
        <v>376810.717383779</v>
      </c>
      <c r="AT18" s="24" t="n">
        <f aca="false">60*ATAN(3476/AS18)/$E$6</f>
        <v>31.7115949298629</v>
      </c>
      <c r="AU18" s="28" t="n">
        <f aca="false">ATAN(0.99664719*TAN($E$6*input!$D$2))</f>
        <v>0.871010436227447</v>
      </c>
      <c r="AV18" s="28" t="n">
        <f aca="false">COS(AU18)</f>
        <v>0.644053912545846</v>
      </c>
      <c r="AW18" s="28" t="n">
        <f aca="false">0.99664719*SIN(AU18)</f>
        <v>0.762415269897027</v>
      </c>
      <c r="AX18" s="28" t="n">
        <f aca="false">6378.14/AS18</f>
        <v>0.0169266416950235</v>
      </c>
      <c r="AY18" s="31" t="n">
        <f aca="false">L18-15*AF18</f>
        <v>-145.804419212997</v>
      </c>
      <c r="AZ18" s="29" t="n">
        <f aca="false">COS($E$6*AE18)*SIN($E$6*AY18)</f>
        <v>-0.555764948293583</v>
      </c>
      <c r="BA18" s="29" t="n">
        <f aca="false">COS($E$6*AE18)*COS($E$6*AY18)-AV18*AX18</f>
        <v>-0.828820651516029</v>
      </c>
      <c r="BB18" s="29" t="n">
        <f aca="false">SIN($E$6*AE18)-AW18*AX18</f>
        <v>-0.161679662907283</v>
      </c>
      <c r="BC18" s="45" t="n">
        <f aca="false">SQRT(AZ18^2+BA18^2+BB18^2)</f>
        <v>1.01091971171258</v>
      </c>
      <c r="BD18" s="20" t="n">
        <f aca="false">AS18*BC18</f>
        <v>380925.381787818</v>
      </c>
      <c r="BE18" s="30" t="str">
        <f aca="false">IF(OR(AND(BD18&gt;BD17,BD18&gt;BD19),AND(BD18&lt;BD17,BD18&lt;BD19)),BD18,"")</f>
        <v/>
      </c>
    </row>
    <row r="19" customFormat="false" ht="15" hidden="false" customHeight="false" outlineLevel="0" collapsed="false">
      <c r="A19" s="31" t="n">
        <v>8.5</v>
      </c>
      <c r="B19" s="30" t="n">
        <f aca="false">$B$2</f>
        <v>1</v>
      </c>
      <c r="C19" s="30" t="n">
        <f aca="false">C18</f>
        <v>12</v>
      </c>
      <c r="D19" s="30" t="n">
        <f aca="false">$D$2</f>
        <v>2022</v>
      </c>
      <c r="F19" s="38" t="n">
        <f aca="false">AK19</f>
        <v>-36.8562551731267</v>
      </c>
      <c r="G19" s="39" t="n">
        <f aca="false">F19+1.02/(TAN($E$6*(F19+10.3/(F19+5.11)))*60)</f>
        <v>-36.8786675162829</v>
      </c>
      <c r="H19" s="38" t="n">
        <f aca="false">100*(1+COS($E$6*AO19))/2</f>
        <v>58.3517504249271</v>
      </c>
      <c r="I19" s="38" t="n">
        <f aca="false">IF(AG19&gt;180, AR19-180,AR19+180)</f>
        <v>54.1244245060994</v>
      </c>
      <c r="J19" s="31" t="n">
        <f aca="false">INT(365.25*IF(C19&gt;2,D19+4716,D19-1+4716))+INT(30.6001*IF(C19&gt;2,C19+1,C19+12+1))+B19+A19/24+2-INT(IF(C19&gt;2,D19,D19-1)/100)+INT(INT(IF(C19&gt;2,D19,D19-1)/100)/4)-1524.5</f>
        <v>2459914.85416667</v>
      </c>
      <c r="K19" s="47" t="n">
        <f aca="false">(J19-2451545)/36525</f>
        <v>0.229154118183888</v>
      </c>
      <c r="L19" s="31" t="n">
        <f aca="false">MOD(280.46061837+360.98564736629*(J19-2451545)+0.000387933*K19^2-K19^3/38710000+$E$4,360)</f>
        <v>212.68535429053</v>
      </c>
      <c r="M19" s="28" t="n">
        <f aca="false">0.606433+1336.855225*K19 - INT(0.606433+1336.855225*K19)</f>
        <v>0.952313224398267</v>
      </c>
      <c r="N19" s="31" t="n">
        <f aca="false">22640*SIN(O19)-4586*SIN(O19-2*Q19)+2370*SIN(2*Q19)+769*SIN(2*O19)-668*SIN(P19)-412*SIN(2*R19)-212*SIN(2*O19-2*Q19)-206*SIN(O19+P19-2*Q19)+192*SIN(O19+2*Q19)-165*SIN(P19-2*Q19)-125*SIN(Q19)-110*SIN(O19+P19)+148*SIN(O19-P19)-55*SIN(2*R19-2*Q19)</f>
        <v>20840.1578466125</v>
      </c>
      <c r="O19" s="29" t="n">
        <f aca="false">2*PI()*(0.374897+1325.55241*K19 - INT(0.374897+1325.55241*K19))</f>
        <v>0.821153383858041</v>
      </c>
      <c r="P19" s="32" t="n">
        <f aca="false">2*PI()*(0.993133+99.997361*K19 - INT(0.993133+99.997361*K19))</f>
        <v>5.70475577467097</v>
      </c>
      <c r="Q19" s="32" t="n">
        <f aca="false">2*PI()*(0.827361+1236.853086*K19 - INT(0.827361+1236.853086*K19))</f>
        <v>1.61691016534815</v>
      </c>
      <c r="R19" s="32" t="n">
        <f aca="false">2*PI()*(0.259086+1342.227825*K19 - INT(0.259086+1342.227825*K19))</f>
        <v>5.25349463554039</v>
      </c>
      <c r="S19" s="32" t="n">
        <f aca="false">R19+(N19+412*SIN(2*R19)+541*SIN(P19))/206264.8062</f>
        <v>5.35133291040524</v>
      </c>
      <c r="T19" s="32" t="n">
        <f aca="false">R19-2*Q19</f>
        <v>2.01967430484408</v>
      </c>
      <c r="U19" s="24" t="n">
        <f aca="false">-526*SIN(T19)+44*SIN(O19+T19)-31*SIN(-O19+T19)-23*SIN(P19+T19)+11*SIN(-P19+T19)-25*SIN(-2*O19+R19)+21*SIN(-O19+R19)</f>
        <v>-515.720746136774</v>
      </c>
      <c r="V19" s="32" t="n">
        <f aca="false">2*PI()*(M19+N19/1296000-INT(M19+N19/1296000))</f>
        <v>6.08459639577721</v>
      </c>
      <c r="W19" s="31" t="n">
        <f aca="false">V19/$E$6</f>
        <v>348.621693518546</v>
      </c>
      <c r="X19" s="32" t="n">
        <f aca="false">(18520*SIN(S19)+U19)/206264.8062</f>
        <v>-0.0745750396133461</v>
      </c>
      <c r="Y19" s="32" t="n">
        <f aca="false">COS(X19)*COS(V19)</f>
        <v>0.97762113933633</v>
      </c>
      <c r="Z19" s="32" t="n">
        <f aca="false">COS(X19)*SIN(V19)</f>
        <v>-0.196737829626623</v>
      </c>
      <c r="AA19" s="32" t="n">
        <f aca="false">SIN(X19)</f>
        <v>-0.0745059347739575</v>
      </c>
      <c r="AB19" s="32" t="n">
        <f aca="false">COS($E$6*(23.4393-46.815*K19/3600))*Z19-SIN($E$6*(23.4393-46.815*K19/3600))*AA19</f>
        <v>-0.150874273323137</v>
      </c>
      <c r="AC19" s="32" t="n">
        <f aca="false">SIN($E$6*(23.4393-46.815*K19/3600))*Z19+COS($E$6*(23.4393-46.815*K19/3600))*AA19</f>
        <v>-0.146607849625969</v>
      </c>
      <c r="AD19" s="32" t="n">
        <f aca="false">SQRT(1-AC19*AC19)</f>
        <v>0.989194691872156</v>
      </c>
      <c r="AE19" s="31" t="n">
        <f aca="false">ATAN(AC19/AD19)/$E$6</f>
        <v>-8.43039730342596</v>
      </c>
      <c r="AF19" s="32" t="n">
        <f aca="false">IF(24*ATAN(AB19/(Y19+AD19))/PI()&gt;0,24*ATAN(AB19/(Y19+AD19))/PI(),24*ATAN(AB19/(Y19+AD19))/PI()+24)</f>
        <v>23.4151248445027</v>
      </c>
      <c r="AG19" s="31" t="n">
        <f aca="false">IF(L19-15*AF19&gt;0,L19-15*AF19,360+L19-15*AF19)</f>
        <v>221.458481622989</v>
      </c>
      <c r="AH19" s="29" t="n">
        <f aca="false">0.950724+0.051818*COS(O19)+0.009531*COS(2*Q19-O19)+0.007843*COS(2*Q19)+0.002824*COS(2*O19)+0.000857*COS(2*Q19+O19)+0.000533*COS(2*Q19-P19)*(1-0.002495*(J19-2415020)/36525)+0.000401*COS(2*Q19-P19-O19)*(1-0.002495*(J19-2415020)/36525)+0.00032*COS(O19-P19)*(1-0.002495*(J19-2415020)/36525)-0.000271*COS(Q19)</f>
        <v>0.969642721484221</v>
      </c>
      <c r="AI19" s="32" t="n">
        <f aca="false">ASIN(COS($E$6*$E$2)*COS($E$6*AE19)*COS($E$6*AG19)+SIN($E$6*$E$2)*SIN($E$6*AE19))/$E$6</f>
        <v>-36.0740876356008</v>
      </c>
      <c r="AJ19" s="29" t="n">
        <f aca="false">ASIN((0.9983271+0.0016764*COS($E$6*2*$E$2))*COS($E$6*AI19)*SIN($E$6*AH19))/$E$6</f>
        <v>0.782167537525923</v>
      </c>
      <c r="AK19" s="29" t="n">
        <f aca="false">AI19-AJ19</f>
        <v>-36.8562551731267</v>
      </c>
      <c r="AL19" s="31" t="n">
        <f aca="false"> MOD(280.4664567 + 360007.6982779*K19/10 + 0.03032028*K19^2/100 + K19^3/49931000,360)</f>
        <v>250.191136450248</v>
      </c>
      <c r="AM19" s="29" t="n">
        <f aca="false"> AL19 + (1.9146 - 0.004817*K19 - 0.000014*K19^2)*SIN(P19)+ (0.019993 - 0.000101*K19)*SIN(2*P19)+ 0.00029*SIN(3*P19)</f>
        <v>249.126440710696</v>
      </c>
      <c r="AN19" s="29" t="n">
        <f aca="false">ACOS(COS(V19-$E$6*AM19)*COS(X19))/$E$6</f>
        <v>99.4686181633273</v>
      </c>
      <c r="AO19" s="24" t="n">
        <f aca="false">180 - AN19 -0.1468*(1-0.0549*SIN(P19))*SIN($E$6*AN19)/(1-0.0167*SIN($E$6*AM19))</f>
        <v>80.3845272958466</v>
      </c>
      <c r="AP19" s="48" t="n">
        <f aca="false">SIN($E$6*AG19)</f>
        <v>-0.662077156729309</v>
      </c>
      <c r="AQ19" s="48" t="n">
        <f aca="false">COS($E$6*AG19)*SIN($E$6*$E$2) - TAN($E$6*AE19)*COS($E$6*$E$2)</f>
        <v>-0.478833938592214</v>
      </c>
      <c r="AR19" s="48" t="n">
        <f aca="false">IF(OR(AND(AP19*AQ19&gt;0), AND(AP19&lt;0,AQ19&gt;0)), MOD(ATAN2(AQ19,AP19)/$E$6+360,360),  ATAN2(AQ19,AP19)/$E$6)</f>
        <v>234.124424506099</v>
      </c>
      <c r="AS19" s="20" t="n">
        <f aca="false"> 385000.56 + (-20905355*COS(O19) - 3699111*COS(2*Q19-O19) - 2955968*COS(2*Q19) - 569925*COS(2*O19) + (1-0.002516*K19)*48888*COS(P19) - 3149*COS(2*R19)  +246158*COS(2*Q19-2*O19) -(1-0.002516*K19)*152138*COS(2*Q19-P19-O19) -170733*COS(2*Q19+O19) -(1-0.002516*K19)*204586*COS(2*Q19-P19) -(1-0.002516*K19)*129620*COS(P19-O19)  + 108743*COS(Q19) +(1-0.002516*K19)*104755*COS(P19+O19) +10321*COS(2*Q19-2*R19) +79661*COS(O19-2*R19) -34782*COS(4*Q19-O19) -23210*COS(3*O19)  -21636*COS(4*Q19-2*O19) +(1-0.002516*K19)*24208*COS(2*Q19+P19-O19) +(1-0.002516*K19)*30824*COS(2*Q19+P19) -8379*COS(Q19-O19) -(1-0.002516*K19)*16675*COS(Q19+P19)  -(1-0.002516*K19)*12831*COS(2*Q19-P19+O19) -10445*COS(2*Q19+2*O19) -11650*COS(4*Q19) +14403*COS(2*Q19-3*O19) -(1-0.002516*K19)*7003*COS(P19-2*O19)  + (1-0.002516*K19)*10056*COS(2*Q19-P19-2*O19) +6322*COS(Q19+O19) -(1-0.002516*K19)*(1-0.002516*K19)*9884*COS(2*Q19-2*P19) +(1-0.002516*K19)*5751*COS(P19+2*O19) -(1-0.002516*K19)*(1-0.002516*K19)*4950*COS(2*Q19-2*P19-O19)  +4130*COS(2*Q19+O19-2*R19) -(1-0.002516*K19)*3958*COS(4*Q19-P19-O19) +3258*COS(3*Q19-O19) +(1-0.002516*K19)*2616*COS(2*Q19+P19+O19) -(1-0.002516*K19)*1897*COS(4*Q19-P19-2*O19)  -(1-0.002516*K19)*(1-0.002516*K19)*2117*COS(2*P19-O19) +(1-0.002516*K19)*(1-0.002516*K19)*2354*COS(2*Q19+2*P19-O19) -1423*COS(4*Q19+O19) -1117*COS(4*O19) -(1-0.002516*K19)*1571*COS(4*Q19-P19)  -1739*COS(Q19-2*O19) -4421*COS(2*O19-2*R19) +(1-0.002516*K19)*(1-0.002516*K19)*1165*COS(2*P19+O19) +8752*COS(2*Q19-O19-2*R19))/1000</f>
        <v>376893.104741162</v>
      </c>
      <c r="AT19" s="24" t="n">
        <f aca="false">60*ATAN(3476/AS19)/$E$6</f>
        <v>31.7046632924476</v>
      </c>
      <c r="AU19" s="28" t="n">
        <f aca="false">ATAN(0.99664719*TAN($E$6*input!$D$2))</f>
        <v>0.871010436227447</v>
      </c>
      <c r="AV19" s="28" t="n">
        <f aca="false">COS(AU19)</f>
        <v>0.644053912545846</v>
      </c>
      <c r="AW19" s="28" t="n">
        <f aca="false">0.99664719*SIN(AU19)</f>
        <v>0.762415269897027</v>
      </c>
      <c r="AX19" s="28" t="n">
        <f aca="false">6378.14/AS19</f>
        <v>0.0169229415974068</v>
      </c>
      <c r="AY19" s="31" t="n">
        <f aca="false">L19-15*AF19</f>
        <v>-138.541518377011</v>
      </c>
      <c r="AZ19" s="29" t="n">
        <f aca="false">COS($E$6*AE19)*SIN($E$6*AY19)</f>
        <v>-0.654923209046442</v>
      </c>
      <c r="BA19" s="29" t="n">
        <f aca="false">COS($E$6*AE19)*COS($E$6*AY19)-AV19*AX19</f>
        <v>-0.752237083356104</v>
      </c>
      <c r="BB19" s="29" t="n">
        <f aca="false">SIN($E$6*AE19)-AW19*AX19</f>
        <v>-0.159510158711407</v>
      </c>
      <c r="BC19" s="45" t="n">
        <f aca="false">SQRT(AZ19^2+BA19^2+BB19^2)</f>
        <v>1.01006362673642</v>
      </c>
      <c r="BD19" s="20" t="n">
        <f aca="false">AS19*BC19</f>
        <v>380686.016266807</v>
      </c>
      <c r="BE19" s="30" t="str">
        <f aca="false">IF(OR(AND(BD19&gt;BD18,BD19&gt;BD20),AND(BD19&lt;BD18,BD19&lt;BD20)),BD19,"")</f>
        <v/>
      </c>
    </row>
    <row r="20" customFormat="false" ht="15" hidden="false" customHeight="false" outlineLevel="0" collapsed="false">
      <c r="A20" s="31" t="n">
        <v>9</v>
      </c>
      <c r="B20" s="30" t="n">
        <f aca="false">$B$2</f>
        <v>1</v>
      </c>
      <c r="C20" s="30" t="n">
        <f aca="false">C19</f>
        <v>12</v>
      </c>
      <c r="D20" s="30" t="n">
        <f aca="false">$D$2</f>
        <v>2022</v>
      </c>
      <c r="F20" s="38" t="n">
        <f aca="false">AK20</f>
        <v>-32.8431689209649</v>
      </c>
      <c r="G20" s="39" t="n">
        <f aca="false">F20+1.02/(TAN($E$6*(F20+10.3/(F20+5.11)))*60)</f>
        <v>-32.8691332357903</v>
      </c>
      <c r="H20" s="38" t="n">
        <f aca="false">100*(1+COS($E$6*AO20))/2</f>
        <v>58.57753705123</v>
      </c>
      <c r="I20" s="38" t="n">
        <f aca="false">IF(AG20&gt;180, AR20-180,AR20+180)</f>
        <v>61.2938889602053</v>
      </c>
      <c r="J20" s="31" t="n">
        <f aca="false">INT(365.25*IF(C20&gt;2,D20+4716,D20-1+4716))+INT(30.6001*IF(C20&gt;2,C20+1,C20+12+1))+B20+A20/24+2-INT(IF(C20&gt;2,D20,D20-1)/100)+INT(INT(IF(C20&gt;2,D20,D20-1)/100)/4)-1524.5</f>
        <v>2459914.875</v>
      </c>
      <c r="K20" s="47" t="n">
        <f aca="false">(J20-2451545)/36525</f>
        <v>0.229154688569473</v>
      </c>
      <c r="L20" s="31" t="n">
        <f aca="false">MOD(280.46061837+360.98564736629*(J20-2451545)+0.000387933*K20^2-K20^3/38710000+$E$4,360)</f>
        <v>220.20588866761</v>
      </c>
      <c r="M20" s="28" t="n">
        <f aca="false">0.606433+1336.855225*K20 - INT(0.606433+1336.855225*K20)</f>
        <v>0.953075747347668</v>
      </c>
      <c r="N20" s="31" t="n">
        <f aca="false">22640*SIN(O20)-4586*SIN(O20-2*Q20)+2370*SIN(2*Q20)+769*SIN(2*O20)-668*SIN(P20)-412*SIN(2*R20)-212*SIN(2*O20-2*Q20)-206*SIN(O20+P20-2*Q20)+192*SIN(O20+2*Q20)-165*SIN(P20-2*Q20)-125*SIN(Q20)-110*SIN(O20+P20)+148*SIN(O20-P20)-55*SIN(2*R20-2*Q20)</f>
        <v>20875.4535972681</v>
      </c>
      <c r="O20" s="29" t="n">
        <f aca="false">2*PI()*(0.374897+1325.55241*K20 - INT(0.374897+1325.55241*K20))</f>
        <v>0.825903949388521</v>
      </c>
      <c r="P20" s="32" t="n">
        <f aca="false">2*PI()*(0.993133+99.997361*K20 - INT(0.993133+99.997361*K20))</f>
        <v>5.70511414904586</v>
      </c>
      <c r="Q20" s="32" t="n">
        <f aca="false">2*PI()*(0.827361+1236.853086*K20 - INT(0.827361+1236.853086*K20))</f>
        <v>1.62134284684177</v>
      </c>
      <c r="R20" s="32" t="n">
        <f aca="false">2*PI()*(0.259086+1342.227825*K20 - INT(0.259086+1342.227825*K20))</f>
        <v>5.2583049630627</v>
      </c>
      <c r="S20" s="32" t="n">
        <f aca="false">R20+(N20+412*SIN(2*R20)+541*SIN(P20))/206264.8062</f>
        <v>5.35630620562544</v>
      </c>
      <c r="T20" s="32" t="n">
        <f aca="false">R20-2*Q20</f>
        <v>2.01561926937915</v>
      </c>
      <c r="U20" s="24" t="n">
        <f aca="false">-526*SIN(T20)+44*SIN(O20+T20)-31*SIN(-O20+T20)-23*SIN(P20+T20)+11*SIN(-P20+T20)-25*SIN(-2*O20+R20)+21*SIN(-O20+R20)</f>
        <v>-516.623685231226</v>
      </c>
      <c r="V20" s="32" t="n">
        <f aca="false">2*PI()*(M20+N20/1296000-INT(M20+N20/1296000))</f>
        <v>6.0895585873973</v>
      </c>
      <c r="W20" s="31" t="n">
        <f aca="false">V20/$E$6</f>
        <v>348.906006155513</v>
      </c>
      <c r="X20" s="32" t="n">
        <f aca="false">(18520*SIN(S20)+U20)/206264.8062</f>
        <v>-0.0743122338661173</v>
      </c>
      <c r="Y20" s="32" t="n">
        <f aca="false">COS(X20)*COS(V20)</f>
        <v>0.978604530900664</v>
      </c>
      <c r="Z20" s="32" t="n">
        <f aca="false">COS(X20)*SIN(V20)</f>
        <v>-0.191888044995713</v>
      </c>
      <c r="AA20" s="32" t="n">
        <f aca="false">SIN(X20)</f>
        <v>-0.0742438569069184</v>
      </c>
      <c r="AB20" s="32" t="n">
        <f aca="false">COS($E$6*(23.4393-46.815*K20/3600))*Z20-SIN($E$6*(23.4393-46.815*K20/3600))*AA20</f>
        <v>-0.146528819028779</v>
      </c>
      <c r="AC20" s="32" t="n">
        <f aca="false">SIN($E$6*(23.4393-46.815*K20/3600))*Z20+COS($E$6*(23.4393-46.815*K20/3600))*AA20</f>
        <v>-0.144438489658135</v>
      </c>
      <c r="AD20" s="32" t="n">
        <f aca="false">SQRT(1-AC20*AC20)</f>
        <v>0.989513780957737</v>
      </c>
      <c r="AE20" s="31" t="n">
        <f aca="false">ATAN(AC20/AD20)/$E$6</f>
        <v>-8.30476472812959</v>
      </c>
      <c r="AF20" s="32" t="n">
        <f aca="false">IF(24*ATAN(AB20/(Y20+AD20))/PI()&gt;0,24*ATAN(AB20/(Y20+AD20))/PI(),24*ATAN(AB20/(Y20+AD20))/PI()+24)</f>
        <v>23.4322819428353</v>
      </c>
      <c r="AG20" s="31" t="n">
        <f aca="false">IF(L20-15*AF20&gt;0,L20-15*AF20,360+L20-15*AF20)</f>
        <v>228.72165952508</v>
      </c>
      <c r="AH20" s="29" t="n">
        <f aca="false">0.950724+0.051818*COS(O20)+0.009531*COS(2*Q20-O20)+0.007843*COS(2*Q20)+0.002824*COS(2*O20)+0.000857*COS(2*Q20+O20)+0.000533*COS(2*Q20-P20)*(1-0.002495*(J20-2415020)/36525)+0.000401*COS(2*Q20-P20-O20)*(1-0.002495*(J20-2415020)/36525)+0.00032*COS(O20-P20)*(1-0.002495*(J20-2415020)/36525)-0.000271*COS(Q20)</f>
        <v>0.969427749096901</v>
      </c>
      <c r="AI20" s="32" t="n">
        <f aca="false">ASIN(COS($E$6*$E$2)*COS($E$6*AE20)*COS($E$6*AG20)+SIN($E$6*$E$2)*SIN($E$6*AE20))/$E$6</f>
        <v>-32.0228781190673</v>
      </c>
      <c r="AJ20" s="29" t="n">
        <f aca="false">ASIN((0.9983271+0.0016764*COS($E$6*2*$E$2))*COS($E$6*AI20)*SIN($E$6*AH20))/$E$6</f>
        <v>0.820290801897619</v>
      </c>
      <c r="AK20" s="29" t="n">
        <f aca="false">AI20-AJ20</f>
        <v>-32.8431689209649</v>
      </c>
      <c r="AL20" s="31" t="n">
        <f aca="false"> MOD(280.4664567 + 360007.6982779*K20/10 + 0.03032028*K20^2/100 + K20^3/49931000,360)</f>
        <v>250.211670770483</v>
      </c>
      <c r="AM20" s="29" t="n">
        <f aca="false"> AL20 + (1.9146 - 0.004817*K20 - 0.000014*K20^2)*SIN(P20)+ (0.019993 - 0.000101*K20)*SIN(2*P20)+ 0.00029*SIN(3*P20)</f>
        <v>249.147555002387</v>
      </c>
      <c r="AN20" s="29" t="n">
        <f aca="false">ACOS(COS(V20-$E$6*AM20)*COS(X20))/$E$6</f>
        <v>99.7312565994127</v>
      </c>
      <c r="AO20" s="24" t="n">
        <f aca="false">180 - AN20 -0.1468*(1-0.0549*SIN(P20))*SIN($E$6*AN20)/(1-0.0167*SIN($E$6*AM20))</f>
        <v>80.1220053367367</v>
      </c>
      <c r="AP20" s="48" t="n">
        <f aca="false">SIN($E$6*AG20)</f>
        <v>-0.751513580265629</v>
      </c>
      <c r="AQ20" s="48" t="n">
        <f aca="false">COS($E$6*AG20)*SIN($E$6*$E$2) - TAN($E$6*AE20)*COS($E$6*$E$2)</f>
        <v>-0.411545853436148</v>
      </c>
      <c r="AR20" s="48" t="n">
        <f aca="false">IF(OR(AND(AP20*AQ20&gt;0), AND(AP20&lt;0,AQ20&gt;0)), MOD(ATAN2(AQ20,AP20)/$E$6+360,360),  ATAN2(AQ20,AP20)/$E$6)</f>
        <v>241.293888960205</v>
      </c>
      <c r="AS20" s="20" t="n">
        <f aca="false"> 385000.56 + (-20905355*COS(O20) - 3699111*COS(2*Q20-O20) - 2955968*COS(2*Q20) - 569925*COS(2*O20) + (1-0.002516*K20)*48888*COS(P20) - 3149*COS(2*R20)  +246158*COS(2*Q20-2*O20) -(1-0.002516*K20)*152138*COS(2*Q20-P20-O20) -170733*COS(2*Q20+O20) -(1-0.002516*K20)*204586*COS(2*Q20-P20) -(1-0.002516*K20)*129620*COS(P20-O20)  + 108743*COS(Q20) +(1-0.002516*K20)*104755*COS(P20+O20) +10321*COS(2*Q20-2*R20) +79661*COS(O20-2*R20) -34782*COS(4*Q20-O20) -23210*COS(3*O20)  -21636*COS(4*Q20-2*O20) +(1-0.002516*K20)*24208*COS(2*Q20+P20-O20) +(1-0.002516*K20)*30824*COS(2*Q20+P20) -8379*COS(Q20-O20) -(1-0.002516*K20)*16675*COS(Q20+P20)  -(1-0.002516*K20)*12831*COS(2*Q20-P20+O20) -10445*COS(2*Q20+2*O20) -11650*COS(4*Q20) +14403*COS(2*Q20-3*O20) -(1-0.002516*K20)*7003*COS(P20-2*O20)  + (1-0.002516*K20)*10056*COS(2*Q20-P20-2*O20) +6322*COS(Q20+O20) -(1-0.002516*K20)*(1-0.002516*K20)*9884*COS(2*Q20-2*P20) +(1-0.002516*K20)*5751*COS(P20+2*O20) -(1-0.002516*K20)*(1-0.002516*K20)*4950*COS(2*Q20-2*P20-O20)  +4130*COS(2*Q20+O20-2*R20) -(1-0.002516*K20)*3958*COS(4*Q20-P20-O20) +3258*COS(3*Q20-O20) +(1-0.002516*K20)*2616*COS(2*Q20+P20+O20) -(1-0.002516*K20)*1897*COS(4*Q20-P20-2*O20)  -(1-0.002516*K20)*(1-0.002516*K20)*2117*COS(2*P20-O20) +(1-0.002516*K20)*(1-0.002516*K20)*2354*COS(2*Q20+2*P20-O20) -1423*COS(4*Q20+O20) -1117*COS(4*O20) -(1-0.002516*K20)*1571*COS(4*Q20-P20)  -1739*COS(Q20-2*O20) -4421*COS(2*O20-2*R20) +(1-0.002516*K20)*(1-0.002516*K20)*1165*COS(2*P20+O20) +8752*COS(2*Q20-O20-2*R20))/1000</f>
        <v>376975.507050943</v>
      </c>
      <c r="AT20" s="24" t="n">
        <f aca="false">60*ATAN(3476/AS20)/$E$6</f>
        <v>31.6977334273789</v>
      </c>
      <c r="AU20" s="28" t="n">
        <f aca="false">ATAN(0.99664719*TAN($E$6*input!$D$2))</f>
        <v>0.871010436227447</v>
      </c>
      <c r="AV20" s="28" t="n">
        <f aca="false">COS(AU20)</f>
        <v>0.644053912545846</v>
      </c>
      <c r="AW20" s="28" t="n">
        <f aca="false">0.99664719*SIN(AU20)</f>
        <v>0.762415269897027</v>
      </c>
      <c r="AX20" s="28" t="n">
        <f aca="false">6378.14/AS20</f>
        <v>0.0169192424460035</v>
      </c>
      <c r="AY20" s="31" t="n">
        <f aca="false">L20-15*AF20</f>
        <v>-131.27834047492</v>
      </c>
      <c r="AZ20" s="29" t="n">
        <f aca="false">COS($E$6*AE20)*SIN($E$6*AY20)</f>
        <v>-0.743633044249729</v>
      </c>
      <c r="BA20" s="29" t="n">
        <f aca="false">COS($E$6*AE20)*COS($E$6*AY20)-AV20*AX20</f>
        <v>-0.663696581228678</v>
      </c>
      <c r="BB20" s="29" t="n">
        <f aca="false">SIN($E$6*AE20)-AW20*AX20</f>
        <v>-0.157337978454058</v>
      </c>
      <c r="BC20" s="45" t="n">
        <f aca="false">SQRT(AZ20^2+BA20^2+BB20^2)</f>
        <v>1.00907804252137</v>
      </c>
      <c r="BD20" s="20" t="n">
        <f aca="false">AS20*BC20</f>
        <v>380397.706733468</v>
      </c>
      <c r="BE20" s="30" t="str">
        <f aca="false">IF(OR(AND(BD20&gt;BD19,BD20&gt;BD21),AND(BD20&lt;BD19,BD20&lt;BD21)),BD20,"")</f>
        <v/>
      </c>
    </row>
    <row r="21" customFormat="false" ht="15" hidden="false" customHeight="false" outlineLevel="0" collapsed="false">
      <c r="A21" s="31" t="n">
        <v>9.5</v>
      </c>
      <c r="B21" s="30" t="n">
        <f aca="false">$B$2</f>
        <v>1</v>
      </c>
      <c r="C21" s="30" t="n">
        <f aca="false">C20</f>
        <v>12</v>
      </c>
      <c r="D21" s="30" t="n">
        <f aca="false">$D$2</f>
        <v>2022</v>
      </c>
      <c r="F21" s="38" t="n">
        <f aca="false">AK21</f>
        <v>-28.5605265898759</v>
      </c>
      <c r="G21" s="39" t="n">
        <f aca="false">F21+1.02/(TAN($E$6*(F21+10.3/(F21+5.11)))*60)</f>
        <v>-28.5911957183989</v>
      </c>
      <c r="H21" s="38" t="n">
        <f aca="false">100*(1+COS($E$6*AO21))/2</f>
        <v>58.8030363147355</v>
      </c>
      <c r="I21" s="38" t="n">
        <f aca="false">IF(AG21&gt;180, AR21-180,AR21+180)</f>
        <v>67.9257270091425</v>
      </c>
      <c r="J21" s="31" t="n">
        <f aca="false">INT(365.25*IF(C21&gt;2,D21+4716,D21-1+4716))+INT(30.6001*IF(C21&gt;2,C21+1,C21+12+1))+B21+A21/24+2-INT(IF(C21&gt;2,D21,D21-1)/100)+INT(INT(IF(C21&gt;2,D21,D21-1)/100)/4)-1524.5</f>
        <v>2459914.89583333</v>
      </c>
      <c r="K21" s="47" t="n">
        <f aca="false">(J21-2451545)/36525</f>
        <v>0.229155258955058</v>
      </c>
      <c r="L21" s="31" t="n">
        <f aca="false">MOD(280.46061837+360.98564736629*(J21-2451545)+0.000387933*K21^2-K21^3/38710000+$E$4,360)</f>
        <v>227.726423043758</v>
      </c>
      <c r="M21" s="28" t="n">
        <f aca="false">0.606433+1336.855225*K21 - INT(0.606433+1336.855225*K21)</f>
        <v>0.953838270297126</v>
      </c>
      <c r="N21" s="31" t="n">
        <f aca="false">22640*SIN(O21)-4586*SIN(O21-2*Q21)+2370*SIN(2*Q21)+769*SIN(2*O21)-668*SIN(P21)-412*SIN(2*R21)-212*SIN(2*O21-2*Q21)-206*SIN(O21+P21-2*Q21)+192*SIN(O21+2*Q21)-165*SIN(P21-2*Q21)-125*SIN(Q21)-110*SIN(O21+P21)+148*SIN(O21-P21)-55*SIN(2*R21-2*Q21)</f>
        <v>20910.2737940448</v>
      </c>
      <c r="O21" s="29" t="n">
        <f aca="false">2*PI()*(0.374897+1325.55241*K21 - INT(0.374897+1325.55241*K21))</f>
        <v>0.830654514919358</v>
      </c>
      <c r="P21" s="32" t="n">
        <f aca="false">2*PI()*(0.993133+99.997361*K21 - INT(0.993133+99.997361*K21))</f>
        <v>5.70547252342076</v>
      </c>
      <c r="Q21" s="32" t="n">
        <f aca="false">2*PI()*(0.827361+1236.853086*K21 - INT(0.827361+1236.853086*K21))</f>
        <v>1.62577552833575</v>
      </c>
      <c r="R21" s="32" t="n">
        <f aca="false">2*PI()*(0.259086+1342.227825*K21 - INT(0.259086+1342.227825*K21))</f>
        <v>5.26311529058464</v>
      </c>
      <c r="S21" s="32" t="n">
        <f aca="false">R21+(N21+412*SIN(2*R21)+541*SIN(P21))/206264.8062</f>
        <v>5.36127735955053</v>
      </c>
      <c r="T21" s="32" t="n">
        <f aca="false">R21-2*Q21</f>
        <v>2.01156423391314</v>
      </c>
      <c r="U21" s="24" t="n">
        <f aca="false">-526*SIN(T21)+44*SIN(O21+T21)-31*SIN(-O21+T21)-23*SIN(P21+T21)+11*SIN(-P21+T21)-25*SIN(-2*O21+R21)+21*SIN(-O21+R21)</f>
        <v>-517.516638521793</v>
      </c>
      <c r="V21" s="32" t="n">
        <f aca="false">2*PI()*(M21+N21/1296000-INT(M21+N21/1296000))</f>
        <v>6.09451847346749</v>
      </c>
      <c r="W21" s="31" t="n">
        <f aca="false">V21/$E$6</f>
        <v>349.1901866942</v>
      </c>
      <c r="X21" s="32" t="n">
        <f aca="false">(18520*SIN(S21)+U21)/206264.8062</f>
        <v>-0.0740477198295722</v>
      </c>
      <c r="Y21" s="32" t="n">
        <f aca="false">COS(X21)*COS(V21)</f>
        <v>0.979563488589623</v>
      </c>
      <c r="Z21" s="32" t="n">
        <f aca="false">COS(X21)*SIN(V21)</f>
        <v>-0.187035614308968</v>
      </c>
      <c r="AA21" s="32" t="n">
        <f aca="false">SIN(X21)</f>
        <v>-0.0739800703040719</v>
      </c>
      <c r="AB21" s="32" t="n">
        <f aca="false">COS($E$6*(23.4393-46.815*K21/3600))*Z21-SIN($E$6*(23.4393-46.815*K21/3600))*AA21</f>
        <v>-0.142181616585293</v>
      </c>
      <c r="AC21" s="32" t="n">
        <f aca="false">SIN($E$6*(23.4393-46.815*K21/3600))*Z21+COS($E$6*(23.4393-46.815*K21/3600))*AA21</f>
        <v>-0.142266509507056</v>
      </c>
      <c r="AD21" s="32" t="n">
        <f aca="false">SQRT(1-AC21*AC21)</f>
        <v>0.989828389304267</v>
      </c>
      <c r="AE21" s="31" t="n">
        <f aca="false">ATAN(AC21/AD21)/$E$6</f>
        <v>-8.17902068269504</v>
      </c>
      <c r="AF21" s="32" t="n">
        <f aca="false">IF(24*ATAN(AB21/(Y21+AD21))/PI()&gt;0,24*ATAN(AB21/(Y21+AD21))/PI(),24*ATAN(AB21/(Y21+AD21))/PI()+24)</f>
        <v>23.4494207660078</v>
      </c>
      <c r="AG21" s="31" t="n">
        <f aca="false">IF(L21-15*AF21&gt;0,L21-15*AF21,360+L21-15*AF21)</f>
        <v>235.98511155364</v>
      </c>
      <c r="AH21" s="29" t="n">
        <f aca="false">0.950724+0.051818*COS(O21)+0.009531*COS(2*Q21-O21)+0.007843*COS(2*Q21)+0.002824*COS(2*O21)+0.000857*COS(2*Q21+O21)+0.000533*COS(2*Q21-P21)*(1-0.002495*(J21-2415020)/36525)+0.000401*COS(2*Q21-P21-O21)*(1-0.002495*(J21-2415020)/36525)+0.00032*COS(O21-P21)*(1-0.002495*(J21-2415020)/36525)-0.000271*COS(Q21)</f>
        <v>0.969212868249623</v>
      </c>
      <c r="AI21" s="32" t="n">
        <f aca="false">ASIN(COS($E$6*$E$2)*COS($E$6*AE21)*COS($E$6*AG21)+SIN($E$6*$E$2)*SIN($E$6*AE21))/$E$6</f>
        <v>-27.7041183510508</v>
      </c>
      <c r="AJ21" s="29" t="n">
        <f aca="false">ASIN((0.9983271+0.0016764*COS($E$6*2*$E$2))*COS($E$6*AI21)*SIN($E$6*AH21))/$E$6</f>
        <v>0.856408238825052</v>
      </c>
      <c r="AK21" s="29" t="n">
        <f aca="false">AI21-AJ21</f>
        <v>-28.5605265898759</v>
      </c>
      <c r="AL21" s="31" t="n">
        <f aca="false"> MOD(280.4664567 + 360007.6982779*K21/10 + 0.03032028*K21^2/100 + K21^3/49931000,360)</f>
        <v>250.232205090717</v>
      </c>
      <c r="AM21" s="29" t="n">
        <f aca="false"> AL21 + (1.9146 - 0.004817*K21 - 0.000014*K21^2)*SIN(P21)+ (0.019993 - 0.000101*K21)*SIN(2*P21)+ 0.00029*SIN(3*P21)</f>
        <v>249.168669438079</v>
      </c>
      <c r="AN21" s="29" t="n">
        <f aca="false">ACOS(COS(V21-$E$6*AM21)*COS(X21))/$E$6</f>
        <v>99.99377316347</v>
      </c>
      <c r="AO21" s="24" t="n">
        <f aca="false">180 - AN21 -0.1468*(1-0.0549*SIN(P21))*SIN($E$6*AN21)/(1-0.0167*SIN($E$6*AM21))</f>
        <v>79.8596082740262</v>
      </c>
      <c r="AP21" s="48" t="n">
        <f aca="false">SIN($E$6*AG21)</f>
        <v>-0.82889223694368</v>
      </c>
      <c r="AQ21" s="48" t="n">
        <f aca="false">COS($E$6*AG21)*SIN($E$6*$E$2) - TAN($E$6*AE21)*COS($E$6*$E$2)</f>
        <v>-0.33614475595313</v>
      </c>
      <c r="AR21" s="48" t="n">
        <f aca="false">IF(OR(AND(AP21*AQ21&gt;0), AND(AP21&lt;0,AQ21&gt;0)), MOD(ATAN2(AQ21,AP21)/$E$6+360,360),  ATAN2(AQ21,AP21)/$E$6)</f>
        <v>247.925727009143</v>
      </c>
      <c r="AS21" s="20" t="n">
        <f aca="false"> 385000.56 + (-20905355*COS(O21) - 3699111*COS(2*Q21-O21) - 2955968*COS(2*Q21) - 569925*COS(2*O21) + (1-0.002516*K21)*48888*COS(P21) - 3149*COS(2*R21)  +246158*COS(2*Q21-2*O21) -(1-0.002516*K21)*152138*COS(2*Q21-P21-O21) -170733*COS(2*Q21+O21) -(1-0.002516*K21)*204586*COS(2*Q21-P21) -(1-0.002516*K21)*129620*COS(P21-O21)  + 108743*COS(Q21) +(1-0.002516*K21)*104755*COS(P21+O21) +10321*COS(2*Q21-2*R21) +79661*COS(O21-2*R21) -34782*COS(4*Q21-O21) -23210*COS(3*O21)  -21636*COS(4*Q21-2*O21) +(1-0.002516*K21)*24208*COS(2*Q21+P21-O21) +(1-0.002516*K21)*30824*COS(2*Q21+P21) -8379*COS(Q21-O21) -(1-0.002516*K21)*16675*COS(Q21+P21)  -(1-0.002516*K21)*12831*COS(2*Q21-P21+O21) -10445*COS(2*Q21+2*O21) -11650*COS(4*Q21) +14403*COS(2*Q21-3*O21) -(1-0.002516*K21)*7003*COS(P21-2*O21)  + (1-0.002516*K21)*10056*COS(2*Q21-P21-2*O21) +6322*COS(Q21+O21) -(1-0.002516*K21)*(1-0.002516*K21)*9884*COS(2*Q21-2*P21) +(1-0.002516*K21)*5751*COS(P21+2*O21) -(1-0.002516*K21)*(1-0.002516*K21)*4950*COS(2*Q21-2*P21-O21)  +4130*COS(2*Q21+O21-2*R21) -(1-0.002516*K21)*3958*COS(4*Q21-P21-O21) +3258*COS(3*Q21-O21) +(1-0.002516*K21)*2616*COS(2*Q21+P21+O21) -(1-0.002516*K21)*1897*COS(4*Q21-P21-2*O21)  -(1-0.002516*K21)*(1-0.002516*K21)*2117*COS(2*P21-O21) +(1-0.002516*K21)*(1-0.002516*K21)*2354*COS(2*Q21+2*P21-O21) -1423*COS(4*Q21+O21) -1117*COS(4*O21) -(1-0.002516*K21)*1571*COS(4*Q21-P21)  -1739*COS(Q21-2*O21) -4421*COS(2*O21-2*R21) +(1-0.002516*K21)*(1-0.002516*K21)*1165*COS(2*P21+O21) +8752*COS(2*Q21-O21-2*R21))/1000</f>
        <v>377057.922725172</v>
      </c>
      <c r="AT21" s="24" t="n">
        <f aca="false">60*ATAN(3476/AS21)/$E$6</f>
        <v>31.690805467775</v>
      </c>
      <c r="AU21" s="28" t="n">
        <f aca="false">ATAN(0.99664719*TAN($E$6*input!$D$2))</f>
        <v>0.871010436227447</v>
      </c>
      <c r="AV21" s="28" t="n">
        <f aca="false">COS(AU21)</f>
        <v>0.644053912545846</v>
      </c>
      <c r="AW21" s="28" t="n">
        <f aca="false">0.99664719*SIN(AU21)</f>
        <v>0.762415269897027</v>
      </c>
      <c r="AX21" s="28" t="n">
        <f aca="false">6378.14/AS21</f>
        <v>0.0169155443118719</v>
      </c>
      <c r="AY21" s="31" t="n">
        <f aca="false">L21-15*AF21</f>
        <v>-124.01488844636</v>
      </c>
      <c r="AZ21" s="29" t="n">
        <f aca="false">COS($E$6*AE21)*SIN($E$6*AY21)</f>
        <v>-0.820461067800773</v>
      </c>
      <c r="BA21" s="29" t="n">
        <f aca="false">COS($E$6*AE21)*COS($E$6*AY21)-AV21*AX21</f>
        <v>-0.564612750927117</v>
      </c>
      <c r="BB21" s="29" t="n">
        <f aca="false">SIN($E$6*AE21)-AW21*AX21</f>
        <v>-0.155163178789047</v>
      </c>
      <c r="BC21" s="45" t="n">
        <f aca="false">SQRT(AZ21^2+BA21^2+BB21^2)</f>
        <v>1.00797794337882</v>
      </c>
      <c r="BD21" s="20" t="n">
        <f aca="false">AS21*BC21</f>
        <v>380066.069483208</v>
      </c>
      <c r="BE21" s="30" t="str">
        <f aca="false">IF(OR(AND(BD21&gt;BD20,BD21&gt;BD22),AND(BD21&lt;BD20,BD21&lt;BD22)),BD21,"")</f>
        <v/>
      </c>
    </row>
    <row r="22" customFormat="false" ht="15" hidden="false" customHeight="false" outlineLevel="0" collapsed="false">
      <c r="A22" s="31" t="n">
        <v>10</v>
      </c>
      <c r="B22" s="30" t="n">
        <f aca="false">$B$2</f>
        <v>1</v>
      </c>
      <c r="C22" s="30" t="n">
        <f aca="false">C21</f>
        <v>12</v>
      </c>
      <c r="D22" s="30" t="n">
        <f aca="false">$D$2</f>
        <v>2022</v>
      </c>
      <c r="F22" s="38" t="n">
        <f aca="false">AK22</f>
        <v>-24.0796530285754</v>
      </c>
      <c r="G22" s="39" t="n">
        <f aca="false">F22+1.02/(TAN($E$6*(F22+10.3/(F22+5.11)))*60)</f>
        <v>-24.1167455430255</v>
      </c>
      <c r="H22" s="38" t="n">
        <f aca="false">100*(1+COS($E$6*AO22))/2</f>
        <v>59.0282438799062</v>
      </c>
      <c r="I22" s="38" t="n">
        <f aca="false">IF(AG22&gt;180, AR22-180,AR22+180)</f>
        <v>74.13003793932</v>
      </c>
      <c r="J22" s="31" t="n">
        <f aca="false">INT(365.25*IF(C22&gt;2,D22+4716,D22-1+4716))+INT(30.6001*IF(C22&gt;2,C22+1,C22+12+1))+B22+A22/24+2-INT(IF(C22&gt;2,D22,D22-1)/100)+INT(INT(IF(C22&gt;2,D22,D22-1)/100)/4)-1524.5</f>
        <v>2459914.91666667</v>
      </c>
      <c r="K22" s="47" t="n">
        <f aca="false">(J22-2451545)/36525</f>
        <v>0.22915582934063</v>
      </c>
      <c r="L22" s="31" t="n">
        <f aca="false">MOD(280.46061837+360.98564736629*(J22-2451545)+0.000387933*K22^2-K22^3/38710000+$E$4,360)</f>
        <v>235.246957251802</v>
      </c>
      <c r="M22" s="28" t="n">
        <f aca="false">0.606433+1336.855225*K22 - INT(0.606433+1336.855225*K22)</f>
        <v>0.954600793229531</v>
      </c>
      <c r="N22" s="31" t="n">
        <f aca="false">22640*SIN(O22)-4586*SIN(O22-2*Q22)+2370*SIN(2*Q22)+769*SIN(2*O22)-668*SIN(P22)-412*SIN(2*R22)-212*SIN(2*O22-2*Q22)-206*SIN(O22+P22-2*Q22)+192*SIN(O22+2*Q22)-165*SIN(P22-2*Q22)-125*SIN(Q22)-110*SIN(O22+P22)+148*SIN(O22-P22)-55*SIN(2*R22-2*Q22)</f>
        <v>20944.6189552363</v>
      </c>
      <c r="O22" s="29" t="n">
        <f aca="false">2*PI()*(0.374897+1325.55241*K22 - INT(0.374897+1325.55241*K22))</f>
        <v>0.835405080344119</v>
      </c>
      <c r="P22" s="32" t="n">
        <f aca="false">2*PI()*(0.993133+99.997361*K22 - INT(0.993133+99.997361*K22))</f>
        <v>5.70583089778766</v>
      </c>
      <c r="Q22" s="32" t="n">
        <f aca="false">2*PI()*(0.827361+1236.853086*K22 - INT(0.827361+1236.853086*K22))</f>
        <v>1.63020820973044</v>
      </c>
      <c r="R22" s="32" t="n">
        <f aca="false">2*PI()*(0.259086+1342.227825*K22 - INT(0.259086+1342.227825*K22))</f>
        <v>5.26792561799945</v>
      </c>
      <c r="S22" s="32" t="n">
        <f aca="false">R22+(N22+412*SIN(2*R22)+541*SIN(P22))/206264.8062</f>
        <v>5.36624637539863</v>
      </c>
      <c r="T22" s="32" t="n">
        <f aca="false">R22-2*Q22</f>
        <v>2.00750919853857</v>
      </c>
      <c r="U22" s="24" t="n">
        <f aca="false">-526*SIN(T22)+44*SIN(O22+T22)-31*SIN(-O22+T22)-23*SIN(P22+T22)+11*SIN(-P22+T22)-25*SIN(-2*O22+R22)+21*SIN(-O22+R22)</f>
        <v>-518.399597558785</v>
      </c>
      <c r="V22" s="32" t="n">
        <f aca="false">2*PI()*(M22+N22/1296000-INT(M22+N22/1296000))</f>
        <v>6.09947605639302</v>
      </c>
      <c r="W22" s="31" t="n">
        <f aca="false">V22/$E$6</f>
        <v>349.474235272419</v>
      </c>
      <c r="X22" s="32" t="n">
        <f aca="false">(18520*SIN(S22)+U22)/206264.8062</f>
        <v>-0.0737815062195385</v>
      </c>
      <c r="Y22" s="32" t="n">
        <f aca="false">COS(X22)*COS(V22)</f>
        <v>0.980498020066387</v>
      </c>
      <c r="Z22" s="32" t="n">
        <f aca="false">COS(X22)*SIN(V22)</f>
        <v>-0.182180659824754</v>
      </c>
      <c r="AA22" s="32" t="n">
        <f aca="false">SIN(X22)</f>
        <v>-0.0737145835755246</v>
      </c>
      <c r="AB22" s="32" t="n">
        <f aca="false">COS($E$6*(23.4393-46.815*K22/3600))*Z22-SIN($E$6*(23.4393-46.815*K22/3600))*AA22</f>
        <v>-0.137832774740562</v>
      </c>
      <c r="AC22" s="32" t="n">
        <f aca="false">SIN($E$6*(23.4393-46.815*K22/3600))*Z22+COS($E$6*(23.4393-46.815*K22/3600))*AA22</f>
        <v>-0.140091965698298</v>
      </c>
      <c r="AD22" s="32" t="n">
        <f aca="false">SQRT(1-AC22*AC22)</f>
        <v>0.990138495942253</v>
      </c>
      <c r="AE22" s="31" t="n">
        <f aca="false">ATAN(AC22/AD22)/$E$6</f>
        <v>-8.05316793895265</v>
      </c>
      <c r="AF22" s="32" t="n">
        <f aca="false">IF(24*ATAN(AB22/(Y22+AD22))/PI()&gt;0,24*ATAN(AB22/(Y22+AD22))/PI(),24*ATAN(AB22/(Y22+AD22))/PI()+24)</f>
        <v>23.4665414988259</v>
      </c>
      <c r="AG22" s="31" t="n">
        <f aca="false">IF(L22-15*AF22&gt;0,L22-15*AF22,360+L22-15*AF22)</f>
        <v>243.248834769413</v>
      </c>
      <c r="AH22" s="29" t="n">
        <f aca="false">0.950724+0.051818*COS(O22)+0.009531*COS(2*Q22-O22)+0.007843*COS(2*Q22)+0.002824*COS(2*O22)+0.000857*COS(2*Q22+O22)+0.000533*COS(2*Q22-P22)*(1-0.002495*(J22-2415020)/36525)+0.000401*COS(2*Q22-P22-O22)*(1-0.002495*(J22-2415020)/36525)+0.00032*COS(O22-P22)*(1-0.002495*(J22-2415020)/36525)-0.000271*COS(Q22)</f>
        <v>0.968998083377587</v>
      </c>
      <c r="AI22" s="32" t="n">
        <f aca="false">ASIN(COS($E$6*$E$2)*COS($E$6*AE22)*COS($E$6*AG22)+SIN($E$6*$E$2)*SIN($E$6*AE22))/$E$6</f>
        <v>-23.1907067982108</v>
      </c>
      <c r="AJ22" s="29" t="n">
        <f aca="false">ASIN((0.9983271+0.0016764*COS($E$6*2*$E$2))*COS($E$6*AI22)*SIN($E$6*AH22))/$E$6</f>
        <v>0.888946230364617</v>
      </c>
      <c r="AK22" s="29" t="n">
        <f aca="false">AI22-AJ22</f>
        <v>-24.0796530285754</v>
      </c>
      <c r="AL22" s="31" t="n">
        <f aca="false"> MOD(280.4664567 + 360007.6982779*K22/10 + 0.03032028*K22^2/100 + K22^3/49931000,360)</f>
        <v>250.252739410495</v>
      </c>
      <c r="AM22" s="29" t="n">
        <f aca="false"> AL22 + (1.9146 - 0.004817*K22 - 0.000014*K22^2)*SIN(P22)+ (0.019993 - 0.000101*K22)*SIN(2*P22)+ 0.00029*SIN(3*P22)</f>
        <v>249.189784017226</v>
      </c>
      <c r="AN22" s="29" t="n">
        <f aca="false">ACOS(COS(V22-$E$6*AM22)*COS(X22))/$E$6</f>
        <v>100.256168004452</v>
      </c>
      <c r="AO22" s="24" t="n">
        <f aca="false">180 - AN22 -0.1468*(1-0.0549*SIN(P22))*SIN($E$6*AN22)/(1-0.0167*SIN($E$6*AM22))</f>
        <v>79.5973359519245</v>
      </c>
      <c r="AP22" s="48" t="n">
        <f aca="false">SIN($E$6*AG22)</f>
        <v>-0.892969789524835</v>
      </c>
      <c r="AQ22" s="48" t="n">
        <f aca="false">COS($E$6*AG22)*SIN($E$6*$E$2) - TAN($E$6*AE22)*COS($E$6*$E$2)</f>
        <v>-0.253863074830417</v>
      </c>
      <c r="AR22" s="48" t="n">
        <f aca="false">IF(OR(AND(AP22*AQ22&gt;0), AND(AP22&lt;0,AQ22&gt;0)), MOD(ATAN2(AQ22,AP22)/$E$6+360,360),  ATAN2(AQ22,AP22)/$E$6)</f>
        <v>254.13003793932</v>
      </c>
      <c r="AS22" s="20" t="n">
        <f aca="false"> 385000.56 + (-20905355*COS(O22) - 3699111*COS(2*Q22-O22) - 2955968*COS(2*Q22) - 569925*COS(2*O22) + (1-0.002516*K22)*48888*COS(P22) - 3149*COS(2*R22)  +246158*COS(2*Q22-2*O22) -(1-0.002516*K22)*152138*COS(2*Q22-P22-O22) -170733*COS(2*Q22+O22) -(1-0.002516*K22)*204586*COS(2*Q22-P22) -(1-0.002516*K22)*129620*COS(P22-O22)  + 108743*COS(Q22) +(1-0.002516*K22)*104755*COS(P22+O22) +10321*COS(2*Q22-2*R22) +79661*COS(O22-2*R22) -34782*COS(4*Q22-O22) -23210*COS(3*O22)  -21636*COS(4*Q22-2*O22) +(1-0.002516*K22)*24208*COS(2*Q22+P22-O22) +(1-0.002516*K22)*30824*COS(2*Q22+P22) -8379*COS(Q22-O22) -(1-0.002516*K22)*16675*COS(Q22+P22)  -(1-0.002516*K22)*12831*COS(2*Q22-P22+O22) -10445*COS(2*Q22+2*O22) -11650*COS(4*Q22) +14403*COS(2*Q22-3*O22) -(1-0.002516*K22)*7003*COS(P22-2*O22)  + (1-0.002516*K22)*10056*COS(2*Q22-P22-2*O22) +6322*COS(Q22+O22) -(1-0.002516*K22)*(1-0.002516*K22)*9884*COS(2*Q22-2*P22) +(1-0.002516*K22)*5751*COS(P22+2*O22) -(1-0.002516*K22)*(1-0.002516*K22)*4950*COS(2*Q22-2*P22-O22)  +4130*COS(2*Q22+O22-2*R22) -(1-0.002516*K22)*3958*COS(4*Q22-P22-O22) +3258*COS(3*Q22-O22) +(1-0.002516*K22)*2616*COS(2*Q22+P22+O22) -(1-0.002516*K22)*1897*COS(4*Q22-P22-2*O22)  -(1-0.002516*K22)*(1-0.002516*K22)*2117*COS(2*P22-O22) +(1-0.002516*K22)*(1-0.002516*K22)*2354*COS(2*Q22+2*P22-O22) -1423*COS(4*Q22+O22) -1117*COS(4*O22) -(1-0.002516*K22)*1571*COS(4*Q22-P22)  -1739*COS(Q22-2*O22) -4421*COS(2*O22-2*R22) +(1-0.002516*K22)*(1-0.002516*K22)*1165*COS(2*P22+O22) +8752*COS(2*Q22-O22-2*R22))/1000</f>
        <v>377140.350190512</v>
      </c>
      <c r="AT22" s="24" t="n">
        <f aca="false">60*ATAN(3476/AS22)/$E$6</f>
        <v>31.6838795452932</v>
      </c>
      <c r="AU22" s="28" t="n">
        <f aca="false">ATAN(0.99664719*TAN($E$6*input!$D$2))</f>
        <v>0.871010436227447</v>
      </c>
      <c r="AV22" s="28" t="n">
        <f aca="false">COS(AU22)</f>
        <v>0.644053912545846</v>
      </c>
      <c r="AW22" s="28" t="n">
        <f aca="false">0.99664719*SIN(AU22)</f>
        <v>0.762415269897027</v>
      </c>
      <c r="AX22" s="28" t="n">
        <f aca="false">6378.14/AS22</f>
        <v>0.0169118472652902</v>
      </c>
      <c r="AY22" s="31" t="n">
        <f aca="false">L22-15*AF22</f>
        <v>-116.751165230587</v>
      </c>
      <c r="AZ22" s="29" t="n">
        <f aca="false">COS($E$6*AE22)*SIN($E$6*AY22)</f>
        <v>-0.88416376432199</v>
      </c>
      <c r="BA22" s="29" t="n">
        <f aca="false">COS($E$6*AE22)*COS($E$6*AY22)-AV22*AX22</f>
        <v>-0.456569916262498</v>
      </c>
      <c r="BB22" s="29" t="n">
        <f aca="false">SIN($E$6*AE22)-AW22*AX22</f>
        <v>-0.152985816295522</v>
      </c>
      <c r="BC22" s="45" t="n">
        <f aca="false">SQRT(AZ22^2+BA22^2+BB22^2)</f>
        <v>1.00678016992965</v>
      </c>
      <c r="BD22" s="20" t="n">
        <f aca="false">AS22*BC22</f>
        <v>379697.425852133</v>
      </c>
      <c r="BE22" s="30" t="str">
        <f aca="false">IF(OR(AND(BD22&gt;BD21,BD22&gt;BD23),AND(BD22&lt;BD21,BD22&lt;BD23)),BD22,"")</f>
        <v/>
      </c>
    </row>
    <row r="23" customFormat="false" ht="15" hidden="false" customHeight="false" outlineLevel="0" collapsed="false">
      <c r="A23" s="31" t="n">
        <v>10.5</v>
      </c>
      <c r="B23" s="30" t="n">
        <f aca="false">$B$2</f>
        <v>1</v>
      </c>
      <c r="C23" s="30" t="n">
        <f aca="false">C22</f>
        <v>12</v>
      </c>
      <c r="D23" s="30" t="n">
        <f aca="false">$D$2</f>
        <v>2022</v>
      </c>
      <c r="F23" s="38" t="n">
        <f aca="false">AK23</f>
        <v>-19.4605734977548</v>
      </c>
      <c r="G23" s="39" t="n">
        <f aca="false">F23+1.02/(TAN($E$6*(F23+10.3/(F23+5.11)))*60)</f>
        <v>-19.5068321638062</v>
      </c>
      <c r="H23" s="38" t="n">
        <f aca="false">100*(1+COS($E$6*AO23))/2</f>
        <v>59.2531554447459</v>
      </c>
      <c r="I23" s="38" t="n">
        <f aca="false">IF(AG23&gt;180, AR23-180,AR23+180)</f>
        <v>80.0107505499391</v>
      </c>
      <c r="J23" s="31" t="n">
        <f aca="false">INT(365.25*IF(C23&gt;2,D23+4716,D23-1+4716))+INT(30.6001*IF(C23&gt;2,C23+1,C23+12+1))+B23+A23/24+2-INT(IF(C23&gt;2,D23,D23-1)/100)+INT(INT(IF(C23&gt;2,D23,D23-1)/100)/4)-1524.5</f>
        <v>2459914.9375</v>
      </c>
      <c r="K23" s="47" t="n">
        <f aca="false">(J23-2451545)/36525</f>
        <v>0.229156399726215</v>
      </c>
      <c r="L23" s="31" t="n">
        <f aca="false">MOD(280.46061837+360.98564736629*(J23-2451545)+0.000387933*K23^2-K23^3/38710000+$E$4,360)</f>
        <v>242.76749162795</v>
      </c>
      <c r="M23" s="28" t="n">
        <f aca="false">0.606433+1336.855225*K23 - INT(0.606433+1336.855225*K23)</f>
        <v>0.955363316178989</v>
      </c>
      <c r="N23" s="31" t="n">
        <f aca="false">22640*SIN(O23)-4586*SIN(O23-2*Q23)+2370*SIN(2*Q23)+769*SIN(2*O23)-668*SIN(P23)-412*SIN(2*R23)-212*SIN(2*O23-2*Q23)-206*SIN(O23+P23-2*Q23)+192*SIN(O23+2*Q23)-165*SIN(P23-2*Q23)-125*SIN(Q23)-110*SIN(O23+P23)+148*SIN(O23-P23)-55*SIN(2*R23-2*Q23)</f>
        <v>20978.489612692</v>
      </c>
      <c r="O23" s="29" t="n">
        <f aca="false">2*PI()*(0.374897+1325.55241*K23 - INT(0.374897+1325.55241*K23))</f>
        <v>0.840155645874599</v>
      </c>
      <c r="P23" s="32" t="n">
        <f aca="false">2*PI()*(0.993133+99.997361*K23 - INT(0.993133+99.997361*K23))</f>
        <v>5.70618927216256</v>
      </c>
      <c r="Q23" s="32" t="n">
        <f aca="false">2*PI()*(0.827361+1236.853086*K23 - INT(0.827361+1236.853086*K23))</f>
        <v>1.63464089122441</v>
      </c>
      <c r="R23" s="32" t="n">
        <f aca="false">2*PI()*(0.259086+1342.227825*K23 - INT(0.259086+1342.227825*K23))</f>
        <v>5.2727359455214</v>
      </c>
      <c r="S23" s="32" t="n">
        <f aca="false">R23+(N23+412*SIN(2*R23)+541*SIN(P23))/206264.8062</f>
        <v>5.3712132567589</v>
      </c>
      <c r="T23" s="32" t="n">
        <f aca="false">R23-2*Q23</f>
        <v>2.00345416307257</v>
      </c>
      <c r="U23" s="24" t="n">
        <f aca="false">-526*SIN(T23)+44*SIN(O23+T23)-31*SIN(-O23+T23)-23*SIN(P23+T23)+11*SIN(-P23+T23)-25*SIN(-2*O23+R23)+21*SIN(-O23+R23)</f>
        <v>-519.272554249862</v>
      </c>
      <c r="V23" s="32" t="n">
        <f aca="false">2*PI()*(M23+N23/1296000-INT(M23+N23/1296000))</f>
        <v>6.10443133896666</v>
      </c>
      <c r="W23" s="31" t="n">
        <f aca="false">V23/$E$6</f>
        <v>349.758152050184</v>
      </c>
      <c r="X23" s="32" t="n">
        <f aca="false">(18520*SIN(S23)+U23)/206264.8062</f>
        <v>-0.0735136017540819</v>
      </c>
      <c r="Y23" s="32" t="n">
        <f aca="false">COS(X23)*COS(V23)</f>
        <v>0.981408133641984</v>
      </c>
      <c r="Z23" s="32" t="n">
        <f aca="false">COS(X23)*SIN(V23)</f>
        <v>-0.177323303237352</v>
      </c>
      <c r="AA23" s="32" t="n">
        <f aca="false">SIN(X23)</f>
        <v>-0.0734474053343753</v>
      </c>
      <c r="AB23" s="32" t="n">
        <f aca="false">COS($E$6*(23.4393-46.815*K23/3600))*Z23-SIN($E$6*(23.4393-46.815*K23/3600))*AA23</f>
        <v>-0.133482401723732</v>
      </c>
      <c r="AC23" s="32" t="n">
        <f aca="false">SIN($E$6*(23.4393-46.815*K23/3600))*Z23+COS($E$6*(23.4393-46.815*K23/3600))*AA23</f>
        <v>-0.137914914535818</v>
      </c>
      <c r="AD23" s="32" t="n">
        <f aca="false">SQRT(1-AC23*AC23)</f>
        <v>0.990444080374343</v>
      </c>
      <c r="AE23" s="31" t="n">
        <f aca="false">ATAN(AC23/AD23)/$E$6</f>
        <v>-7.92720924917215</v>
      </c>
      <c r="AF23" s="32" t="n">
        <f aca="false">IF(24*ATAN(AB23/(Y23+AD23))/PI()&gt;0,24*ATAN(AB23/(Y23+AD23))/PI(),24*ATAN(AB23/(Y23+AD23))/PI()+24)</f>
        <v>23.483644327395</v>
      </c>
      <c r="AG23" s="31" t="n">
        <f aca="false">IF(L23-15*AF23&gt;0,L23-15*AF23,360+L23-15*AF23)</f>
        <v>250.512826717025</v>
      </c>
      <c r="AH23" s="29" t="n">
        <f aca="false">0.950724+0.051818*COS(O23)+0.009531*COS(2*Q23-O23)+0.007843*COS(2*Q23)+0.002824*COS(2*O23)+0.000857*COS(2*Q23+O23)+0.000533*COS(2*Q23-P23)*(1-0.002495*(J23-2415020)/36525)+0.000401*COS(2*Q23-P23-O23)*(1-0.002495*(J23-2415020)/36525)+0.00032*COS(O23-P23)*(1-0.002495*(J23-2415020)/36525)-0.000271*COS(Q23)</f>
        <v>0.968783398847542</v>
      </c>
      <c r="AI23" s="32" t="n">
        <f aca="false">ASIN(COS($E$6*$E$2)*COS($E$6*AE23)*COS($E$6*AG23)+SIN($E$6*$E$2)*SIN($E$6*AE23))/$E$6</f>
        <v>-18.543897548992</v>
      </c>
      <c r="AJ23" s="29" t="n">
        <f aca="false">ASIN((0.9983271+0.0016764*COS($E$6*2*$E$2))*COS($E$6*AI23)*SIN($E$6*AH23))/$E$6</f>
        <v>0.916675948762794</v>
      </c>
      <c r="AK23" s="29" t="n">
        <f aca="false">AI23-AJ23</f>
        <v>-19.4605734977548</v>
      </c>
      <c r="AL23" s="31" t="n">
        <f aca="false"> MOD(280.4664567 + 360007.6982779*K23/10 + 0.03032028*K23^2/100 + K23^3/49931000,360)</f>
        <v>250.273273730727</v>
      </c>
      <c r="AM23" s="29" t="n">
        <f aca="false"> AL23 + (1.9146 - 0.004817*K23 - 0.000014*K23^2)*SIN(P23)+ (0.019993 - 0.000101*K23)*SIN(2*P23)+ 0.00029*SIN(3*P23)</f>
        <v>249.210898740688</v>
      </c>
      <c r="AN23" s="29" t="n">
        <f aca="false">ACOS(COS(V23-$E$6*AM23)*COS(X23))/$E$6</f>
        <v>100.518441290813</v>
      </c>
      <c r="AO23" s="24" t="n">
        <f aca="false">180 - AN23 -0.1468*(1-0.0549*SIN(P23))*SIN($E$6*AN23)/(1-0.0167*SIN($E$6*AM23))</f>
        <v>79.3351881951003</v>
      </c>
      <c r="AP23" s="48" t="n">
        <f aca="false">SIN($E$6*AG23)</f>
        <v>-0.942716196292611</v>
      </c>
      <c r="AQ23" s="48" t="n">
        <f aca="false">COS($E$6*AG23)*SIN($E$6*$E$2) - TAN($E$6*AE23)*COS($E$6*$E$2)</f>
        <v>-0.166043922856606</v>
      </c>
      <c r="AR23" s="48" t="n">
        <f aca="false">IF(OR(AND(AP23*AQ23&gt;0), AND(AP23&lt;0,AQ23&gt;0)), MOD(ATAN2(AQ23,AP23)/$E$6+360,360),  ATAN2(AQ23,AP23)/$E$6)</f>
        <v>260.010750549939</v>
      </c>
      <c r="AS23" s="20" t="n">
        <f aca="false"> 385000.56 + (-20905355*COS(O23) - 3699111*COS(2*Q23-O23) - 2955968*COS(2*Q23) - 569925*COS(2*O23) + (1-0.002516*K23)*48888*COS(P23) - 3149*COS(2*R23)  +246158*COS(2*Q23-2*O23) -(1-0.002516*K23)*152138*COS(2*Q23-P23-O23) -170733*COS(2*Q23+O23) -(1-0.002516*K23)*204586*COS(2*Q23-P23) -(1-0.002516*K23)*129620*COS(P23-O23)  + 108743*COS(Q23) +(1-0.002516*K23)*104755*COS(P23+O23) +10321*COS(2*Q23-2*R23) +79661*COS(O23-2*R23) -34782*COS(4*Q23-O23) -23210*COS(3*O23)  -21636*COS(4*Q23-2*O23) +(1-0.002516*K23)*24208*COS(2*Q23+P23-O23) +(1-0.002516*K23)*30824*COS(2*Q23+P23) -8379*COS(Q23-O23) -(1-0.002516*K23)*16675*COS(Q23+P23)  -(1-0.002516*K23)*12831*COS(2*Q23-P23+O23) -10445*COS(2*Q23+2*O23) -11650*COS(4*Q23) +14403*COS(2*Q23-3*O23) -(1-0.002516*K23)*7003*COS(P23-2*O23)  + (1-0.002516*K23)*10056*COS(2*Q23-P23-2*O23) +6322*COS(Q23+O23) -(1-0.002516*K23)*(1-0.002516*K23)*9884*COS(2*Q23-2*P23) +(1-0.002516*K23)*5751*COS(P23+2*O23) -(1-0.002516*K23)*(1-0.002516*K23)*4950*COS(2*Q23-2*P23-O23)  +4130*COS(2*Q23+O23-2*R23) -(1-0.002516*K23)*3958*COS(4*Q23-P23-O23) +3258*COS(3*Q23-O23) +(1-0.002516*K23)*2616*COS(2*Q23+P23+O23) -(1-0.002516*K23)*1897*COS(4*Q23-P23-2*O23)  -(1-0.002516*K23)*(1-0.002516*K23)*2117*COS(2*P23-O23) +(1-0.002516*K23)*(1-0.002516*K23)*2354*COS(2*Q23+2*P23-O23) -1423*COS(4*Q23+O23) -1117*COS(4*O23) -(1-0.002516*K23)*1571*COS(4*Q23-P23)  -1739*COS(Q23-2*O23) -4421*COS(2*O23-2*R23) +(1-0.002516*K23)*(1-0.002516*K23)*1165*COS(2*P23+O23) +8752*COS(2*Q23-O23-2*R23))/1000</f>
        <v>377222.787893775</v>
      </c>
      <c r="AT23" s="24" t="n">
        <f aca="false">60*ATAN(3476/AS23)/$E$6</f>
        <v>31.6769557896678</v>
      </c>
      <c r="AU23" s="28" t="n">
        <f aca="false">ATAN(0.99664719*TAN($E$6*input!$D$2))</f>
        <v>0.871010436227447</v>
      </c>
      <c r="AV23" s="28" t="n">
        <f aca="false">COS(AU23)</f>
        <v>0.644053912545846</v>
      </c>
      <c r="AW23" s="28" t="n">
        <f aca="false">0.99664719*SIN(AU23)</f>
        <v>0.762415269897027</v>
      </c>
      <c r="AX23" s="28" t="n">
        <f aca="false">6378.14/AS23</f>
        <v>0.0169081513755104</v>
      </c>
      <c r="AY23" s="31" t="n">
        <f aca="false">L23-15*AF23</f>
        <v>-109.487173282975</v>
      </c>
      <c r="AZ23" s="29" t="n">
        <f aca="false">COS($E$6*AE23)*SIN($E$6*AY23)</f>
        <v>-0.933707676091034</v>
      </c>
      <c r="BA23" s="29" t="n">
        <f aca="false">COS($E$6*AE23)*COS($E$6*AY23)-AV23*AX23</f>
        <v>-0.341297769360157</v>
      </c>
      <c r="BB23" s="29" t="n">
        <f aca="false">SIN($E$6*AE23)-AW23*AX23</f>
        <v>-0.150805947330238</v>
      </c>
      <c r="BC23" s="45" t="n">
        <f aca="false">SQRT(AZ23^2+BA23^2+BB23^2)</f>
        <v>1.0055031703141</v>
      </c>
      <c r="BD23" s="20" t="n">
        <f aca="false">AS23*BC23</f>
        <v>379298.709141915</v>
      </c>
      <c r="BE23" s="30" t="str">
        <f aca="false">IF(OR(AND(BD23&gt;BD22,BD23&gt;BD24),AND(BD23&lt;BD22,BD23&lt;BD24)),BD23,"")</f>
        <v/>
      </c>
    </row>
    <row r="24" customFormat="false" ht="15" hidden="false" customHeight="false" outlineLevel="0" collapsed="false">
      <c r="A24" s="31" t="n">
        <v>11</v>
      </c>
      <c r="B24" s="30" t="n">
        <f aca="false">$B$2</f>
        <v>1</v>
      </c>
      <c r="C24" s="30" t="n">
        <f aca="false">C23</f>
        <v>12</v>
      </c>
      <c r="D24" s="30" t="n">
        <f aca="false">$D$2</f>
        <v>2022</v>
      </c>
      <c r="F24" s="38" t="n">
        <f aca="false">AK24</f>
        <v>-14.7548995771249</v>
      </c>
      <c r="G24" s="39" t="n">
        <f aca="false">F24+1.02/(TAN($E$6*(F24+10.3/(F24+5.11)))*60)</f>
        <v>-14.8148850965183</v>
      </c>
      <c r="H24" s="38" t="n">
        <f aca="false">100*(1+COS($E$6*AO24))/2</f>
        <v>59.4777667105496</v>
      </c>
      <c r="I24" s="38" t="n">
        <f aca="false">IF(AG24&gt;180, AR24-180,AR24+180)</f>
        <v>85.6630623843265</v>
      </c>
      <c r="J24" s="31" t="n">
        <f aca="false">INT(365.25*IF(C24&gt;2,D24+4716,D24-1+4716))+INT(30.6001*IF(C24&gt;2,C24+1,C24+12+1))+B24+A24/24+2-INT(IF(C24&gt;2,D24,D24-1)/100)+INT(INT(IF(C24&gt;2,D24,D24-1)/100)/4)-1524.5</f>
        <v>2459914.95833333</v>
      </c>
      <c r="K24" s="47" t="n">
        <f aca="false">(J24-2451545)/36525</f>
        <v>0.2291569701118</v>
      </c>
      <c r="L24" s="31" t="n">
        <f aca="false">MOD(280.46061837+360.98564736629*(J24-2451545)+0.000387933*K24^2-K24^3/38710000+$E$4,360)</f>
        <v>250.288026004098</v>
      </c>
      <c r="M24" s="28" t="n">
        <f aca="false">0.606433+1336.855225*K24 - INT(0.606433+1336.855225*K24)</f>
        <v>0.956125839128447</v>
      </c>
      <c r="N24" s="31" t="n">
        <f aca="false">22640*SIN(O24)-4586*SIN(O24-2*Q24)+2370*SIN(2*Q24)+769*SIN(2*O24)-668*SIN(P24)-412*SIN(2*R24)-212*SIN(2*O24-2*Q24)-206*SIN(O24+P24-2*Q24)+192*SIN(O24+2*Q24)-165*SIN(P24-2*Q24)-125*SIN(Q24)-110*SIN(O24+P24)+148*SIN(O24-P24)-55*SIN(2*R24-2*Q24)</f>
        <v>21011.8863071189</v>
      </c>
      <c r="O24" s="29" t="n">
        <f aca="false">2*PI()*(0.374897+1325.55241*K24 - INT(0.374897+1325.55241*K24))</f>
        <v>0.844906211405436</v>
      </c>
      <c r="P24" s="32" t="n">
        <f aca="false">2*PI()*(0.993133+99.997361*K24 - INT(0.993133+99.997361*K24))</f>
        <v>5.70654764653746</v>
      </c>
      <c r="Q24" s="32" t="n">
        <f aca="false">2*PI()*(0.827361+1236.853086*K24 - INT(0.827361+1236.853086*K24))</f>
        <v>1.63907357271839</v>
      </c>
      <c r="R24" s="32" t="n">
        <f aca="false">2*PI()*(0.259086+1342.227825*K24 - INT(0.259086+1342.227825*K24))</f>
        <v>5.2775462730437</v>
      </c>
      <c r="S24" s="32" t="n">
        <f aca="false">R24+(N24+412*SIN(2*R24)+541*SIN(P24))/206264.8062</f>
        <v>5.37617800692754</v>
      </c>
      <c r="T24" s="32" t="n">
        <f aca="false">R24-2*Q24</f>
        <v>1.99939912760692</v>
      </c>
      <c r="U24" s="24" t="n">
        <f aca="false">-526*SIN(T24)+44*SIN(O24+T24)-31*SIN(-O24+T24)-23*SIN(P24+T24)+11*SIN(-P24+T24)-25*SIN(-2*O24+R24)+21*SIN(-O24+R24)</f>
        <v>-520.135500740361</v>
      </c>
      <c r="V24" s="32" t="n">
        <f aca="false">2*PI()*(M24+N24/1296000-INT(M24+N24/1296000))</f>
        <v>6.1093843237027</v>
      </c>
      <c r="W24" s="31" t="n">
        <f aca="false">V24/$E$6</f>
        <v>350.041937171552</v>
      </c>
      <c r="X24" s="32" t="n">
        <f aca="false">(18520*SIN(S24)+U24)/206264.8062</f>
        <v>-0.0732440151887183</v>
      </c>
      <c r="Y24" s="32" t="n">
        <f aca="false">COS(X24)*COS(V24)</f>
        <v>0.982293838146854</v>
      </c>
      <c r="Z24" s="32" t="n">
        <f aca="false">COS(X24)*SIN(V24)</f>
        <v>-0.17246366632665</v>
      </c>
      <c r="AA24" s="32" t="n">
        <f aca="false">SIN(X24)</f>
        <v>-0.0731785442318484</v>
      </c>
      <c r="AB24" s="32" t="n">
        <f aca="false">COS($E$6*(23.4393-46.815*K24/3600))*Z24-SIN($E$6*(23.4393-46.815*K24/3600))*AA24</f>
        <v>-0.129130605827329</v>
      </c>
      <c r="AC24" s="32" t="n">
        <f aca="false">SIN($E$6*(23.4393-46.815*K24/3600))*Z24+COS($E$6*(23.4393-46.815*K24/3600))*AA24</f>
        <v>-0.135735412392602</v>
      </c>
      <c r="AD24" s="32" t="n">
        <f aca="false">SQRT(1-AC24*AC24)</f>
        <v>0.990745122532839</v>
      </c>
      <c r="AE24" s="31" t="n">
        <f aca="false">ATAN(AC24/AD24)/$E$6</f>
        <v>-7.80114736302108</v>
      </c>
      <c r="AF24" s="32" t="n">
        <f aca="false">IF(24*ATAN(AB24/(Y24+AD24))/PI()&gt;0,24*ATAN(AB24/(Y24+AD24))/PI(),24*ATAN(AB24/(Y24+AD24))/PI()+24)</f>
        <v>23.500729436809</v>
      </c>
      <c r="AG24" s="31" t="n">
        <f aca="false">IF(L24-15*AF24&gt;0,L24-15*AF24,360+L24-15*AF24)</f>
        <v>257.777084451963</v>
      </c>
      <c r="AH24" s="29" t="n">
        <f aca="false">0.950724+0.051818*COS(O24)+0.009531*COS(2*Q24-O24)+0.007843*COS(2*Q24)+0.002824*COS(2*O24)+0.000857*COS(2*Q24+O24)+0.000533*COS(2*Q24-P24)*(1-0.002495*(J24-2415020)/36525)+0.000401*COS(2*Q24-P24-O24)*(1-0.002495*(J24-2415020)/36525)+0.00032*COS(O24-P24)*(1-0.002495*(J24-2415020)/36525)-0.000271*COS(Q24)</f>
        <v>0.968568818986617</v>
      </c>
      <c r="AI24" s="32" t="n">
        <f aca="false">ASIN(COS($E$6*$E$2)*COS($E$6*AE24)*COS($E$6*AG24)+SIN($E$6*$E$2)*SIN($E$6*AE24))/$E$6</f>
        <v>-13.8162045237111</v>
      </c>
      <c r="AJ24" s="29" t="n">
        <f aca="false">ASIN((0.9983271+0.0016764*COS($E$6*2*$E$2))*COS($E$6*AI24)*SIN($E$6*AH24))/$E$6</f>
        <v>0.938695053413784</v>
      </c>
      <c r="AK24" s="29" t="n">
        <f aca="false">AI24-AJ24</f>
        <v>-14.7548995771249</v>
      </c>
      <c r="AL24" s="31" t="n">
        <f aca="false"> MOD(280.4664567 + 360007.6982779*K24/10 + 0.03032028*K24^2/100 + K24^3/49931000,360)</f>
        <v>250.293808050961</v>
      </c>
      <c r="AM24" s="29" t="n">
        <f aca="false"> AL24 + (1.9146 - 0.004817*K24 - 0.000014*K24^2)*SIN(P24)+ (0.019993 - 0.000101*K24)*SIN(2*P24)+ 0.00029*SIN(3*P24)</f>
        <v>249.232013607924</v>
      </c>
      <c r="AN24" s="29" t="n">
        <f aca="false">ACOS(COS(V24-$E$6*AM24)*COS(X24))/$E$6</f>
        <v>100.780593175232</v>
      </c>
      <c r="AO24" s="24" t="n">
        <f aca="false">180 - AN24 -0.1468*(1-0.0549*SIN(P24))*SIN($E$6*AN24)/(1-0.0167*SIN($E$6*AM24))</f>
        <v>79.0731648439432</v>
      </c>
      <c r="AP24" s="48" t="n">
        <f aca="false">SIN($E$6*AG24)</f>
        <v>-0.977331296388999</v>
      </c>
      <c r="AQ24" s="48" t="n">
        <f aca="false">COS($E$6*AG24)*SIN($E$6*$E$2) - TAN($E$6*AE24)*COS($E$6*$E$2)</f>
        <v>-0.0741195711533538</v>
      </c>
      <c r="AR24" s="48" t="n">
        <f aca="false">IF(OR(AND(AP24*AQ24&gt;0), AND(AP24&lt;0,AQ24&gt;0)), MOD(ATAN2(AQ24,AP24)/$E$6+360,360),  ATAN2(AQ24,AP24)/$E$6)</f>
        <v>265.663062384327</v>
      </c>
      <c r="AS24" s="20" t="n">
        <f aca="false"> 385000.56 + (-20905355*COS(O24) - 3699111*COS(2*Q24-O24) - 2955968*COS(2*Q24) - 569925*COS(2*O24) + (1-0.002516*K24)*48888*COS(P24) - 3149*COS(2*R24)  +246158*COS(2*Q24-2*O24) -(1-0.002516*K24)*152138*COS(2*Q24-P24-O24) -170733*COS(2*Q24+O24) -(1-0.002516*K24)*204586*COS(2*Q24-P24) -(1-0.002516*K24)*129620*COS(P24-O24)  + 108743*COS(Q24) +(1-0.002516*K24)*104755*COS(P24+O24) +10321*COS(2*Q24-2*R24) +79661*COS(O24-2*R24) -34782*COS(4*Q24-O24) -23210*COS(3*O24)  -21636*COS(4*Q24-2*O24) +(1-0.002516*K24)*24208*COS(2*Q24+P24-O24) +(1-0.002516*K24)*30824*COS(2*Q24+P24) -8379*COS(Q24-O24) -(1-0.002516*K24)*16675*COS(Q24+P24)  -(1-0.002516*K24)*12831*COS(2*Q24-P24+O24) -10445*COS(2*Q24+2*O24) -11650*COS(4*Q24) +14403*COS(2*Q24-3*O24) -(1-0.002516*K24)*7003*COS(P24-2*O24)  + (1-0.002516*K24)*10056*COS(2*Q24-P24-2*O24) +6322*COS(Q24+O24) -(1-0.002516*K24)*(1-0.002516*K24)*9884*COS(2*Q24-2*P24) +(1-0.002516*K24)*5751*COS(P24+2*O24) -(1-0.002516*K24)*(1-0.002516*K24)*4950*COS(2*Q24-2*P24-O24)  +4130*COS(2*Q24+O24-2*R24) -(1-0.002516*K24)*3958*COS(4*Q24-P24-O24) +3258*COS(3*Q24-O24) +(1-0.002516*K24)*2616*COS(2*Q24+P24+O24) -(1-0.002516*K24)*1897*COS(4*Q24-P24-2*O24)  -(1-0.002516*K24)*(1-0.002516*K24)*2117*COS(2*P24-O24) +(1-0.002516*K24)*(1-0.002516*K24)*2354*COS(2*Q24+2*P24-O24) -1423*COS(4*Q24+O24) -1117*COS(4*O24) -(1-0.002516*K24)*1571*COS(4*Q24-P24)  -1739*COS(Q24-2*O24) -4421*COS(2*O24-2*R24) +(1-0.002516*K24)*(1-0.002516*K24)*1165*COS(2*P24+O24) +8752*COS(2*Q24-O24-2*R24))/1000</f>
        <v>377305.234290865</v>
      </c>
      <c r="AT24" s="24" t="n">
        <f aca="false">60*ATAN(3476/AS24)/$E$6</f>
        <v>31.6700343296426</v>
      </c>
      <c r="AU24" s="28" t="n">
        <f aca="false">ATAN(0.99664719*TAN($E$6*input!$D$2))</f>
        <v>0.871010436227447</v>
      </c>
      <c r="AV24" s="28" t="n">
        <f aca="false">COS(AU24)</f>
        <v>0.644053912545846</v>
      </c>
      <c r="AW24" s="28" t="n">
        <f aca="false">0.99664719*SIN(AU24)</f>
        <v>0.762415269897027</v>
      </c>
      <c r="AX24" s="28" t="n">
        <f aca="false">6378.14/AS24</f>
        <v>0.0169044567112554</v>
      </c>
      <c r="AY24" s="31" t="n">
        <f aca="false">L24-15*AF24</f>
        <v>-102.222915548037</v>
      </c>
      <c r="AZ24" s="29" t="n">
        <f aca="false">COS($E$6*AE24)*SIN($E$6*AY24)</f>
        <v>-0.968286214996098</v>
      </c>
      <c r="BA24" s="29" t="n">
        <f aca="false">COS($E$6*AE24)*COS($E$6*AY24)-AV24*AX24</f>
        <v>-0.22064367738781</v>
      </c>
      <c r="BB24" s="29" t="n">
        <f aca="false">SIN($E$6*AE24)-AW24*AX24</f>
        <v>-0.148623628318577</v>
      </c>
      <c r="BC24" s="45" t="n">
        <f aca="false">SQRT(AZ24^2+BA24^2+BB24^2)</f>
        <v>1.00416672391454</v>
      </c>
      <c r="BD24" s="20" t="n">
        <f aca="false">AS24*BC24</f>
        <v>378877.361033667</v>
      </c>
      <c r="BE24" s="49" t="str">
        <f aca="false">IF(OR(AND(BD24&gt;BD23,BD24&gt;BD25),AND(BD24&lt;BD23,BD24&lt;BD25)),BD24,"")</f>
        <v/>
      </c>
    </row>
    <row r="25" customFormat="false" ht="15" hidden="false" customHeight="false" outlineLevel="0" collapsed="false">
      <c r="A25" s="31" t="n">
        <v>11.5</v>
      </c>
      <c r="B25" s="30" t="n">
        <f aca="false">$B$2</f>
        <v>1</v>
      </c>
      <c r="C25" s="30" t="n">
        <f aca="false">C24</f>
        <v>12</v>
      </c>
      <c r="D25" s="30" t="n">
        <f aca="false">$D$2</f>
        <v>2022</v>
      </c>
      <c r="F25" s="38" t="n">
        <f aca="false">AK25</f>
        <v>-10.0085593723586</v>
      </c>
      <c r="G25" s="39" t="n">
        <f aca="false">F25+1.02/(TAN($E$6*(F25+10.3/(F25+5.11)))*60)</f>
        <v>-10.0877816041642</v>
      </c>
      <c r="H25" s="38" t="n">
        <f aca="false">100*(1+COS($E$6*AO25))/2</f>
        <v>59.7020733970213</v>
      </c>
      <c r="I25" s="38" t="n">
        <f aca="false">IF(AG25&gt;180, AR25-180,AR25+180)</f>
        <v>91.1737234224602</v>
      </c>
      <c r="J25" s="31" t="n">
        <f aca="false">INT(365.25*IF(C25&gt;2,D25+4716,D25-1+4716))+INT(30.6001*IF(C25&gt;2,C25+1,C25+12+1))+B25+A25/24+2-INT(IF(C25&gt;2,D25,D25-1)/100)+INT(INT(IF(C25&gt;2,D25,D25-1)/100)/4)-1524.5</f>
        <v>2459914.97916667</v>
      </c>
      <c r="K25" s="47" t="n">
        <f aca="false">(J25-2451545)/36525</f>
        <v>0.229157540497372</v>
      </c>
      <c r="L25" s="31" t="n">
        <f aca="false">MOD(280.46061837+360.98564736629*(J25-2451545)+0.000387933*K25^2-K25^3/38710000+$E$4,360)</f>
        <v>257.808560212608</v>
      </c>
      <c r="M25" s="28" t="n">
        <f aca="false">0.606433+1336.855225*K25 - INT(0.606433+1336.855225*K25)</f>
        <v>0.956888362060795</v>
      </c>
      <c r="N25" s="31" t="n">
        <f aca="false">22640*SIN(O25)-4586*SIN(O25-2*Q25)+2370*SIN(2*Q25)+769*SIN(2*O25)-668*SIN(P25)-412*SIN(2*R25)-212*SIN(2*O25-2*Q25)-206*SIN(O25+P25-2*Q25)+192*SIN(O25+2*Q25)-165*SIN(P25-2*Q25)-125*SIN(Q25)-110*SIN(O25+P25)+148*SIN(O25-P25)-55*SIN(2*R25-2*Q25)</f>
        <v>21044.809590231</v>
      </c>
      <c r="O25" s="29" t="n">
        <f aca="false">2*PI()*(0.374897+1325.55241*K25 - INT(0.374897+1325.55241*K25))</f>
        <v>0.84965677682984</v>
      </c>
      <c r="P25" s="32" t="n">
        <f aca="false">2*PI()*(0.993133+99.997361*K25 - INT(0.993133+99.997361*K25))</f>
        <v>5.70690602090434</v>
      </c>
      <c r="Q25" s="32" t="n">
        <f aca="false">2*PI()*(0.827361+1236.853086*K25 - INT(0.827361+1236.853086*K25))</f>
        <v>1.64350625411272</v>
      </c>
      <c r="R25" s="32" t="n">
        <f aca="false">2*PI()*(0.259086+1342.227825*K25 - INT(0.259086+1342.227825*K25))</f>
        <v>5.28235660045815</v>
      </c>
      <c r="S25" s="32" t="n">
        <f aca="false">R25+(N25+412*SIN(2*R25)+541*SIN(P25))/206264.8062</f>
        <v>5.38114062923726</v>
      </c>
      <c r="T25" s="32" t="n">
        <f aca="false">R25-2*Q25</f>
        <v>1.99534409223271</v>
      </c>
      <c r="U25" s="24" t="n">
        <f aca="false">-526*SIN(T25)+44*SIN(O25+T25)-31*SIN(-O25+T25)-23*SIN(P25+T25)+11*SIN(-P25+T25)-25*SIN(-2*O25+R25)+21*SIN(-O25+R25)</f>
        <v>-520.988429473538</v>
      </c>
      <c r="V25" s="32" t="n">
        <f aca="false">2*PI()*(M25+N25/1296000-INT(M25+N25/1296000))</f>
        <v>6.11433501316842</v>
      </c>
      <c r="W25" s="31" t="n">
        <f aca="false">V25/$E$6</f>
        <v>350.325590783617</v>
      </c>
      <c r="X25" s="32" t="n">
        <f aca="false">(18520*SIN(S25)+U25)/206264.8062</f>
        <v>-0.0729727552985988</v>
      </c>
      <c r="Y25" s="32" t="n">
        <f aca="false">COS(X25)*COS(V25)</f>
        <v>0.983155142992859</v>
      </c>
      <c r="Z25" s="32" t="n">
        <f aca="false">COS(X25)*SIN(V25)</f>
        <v>-0.167601870631451</v>
      </c>
      <c r="AA25" s="32" t="n">
        <f aca="false">SIN(X25)</f>
        <v>-0.0729080089395465</v>
      </c>
      <c r="AB25" s="32" t="n">
        <f aca="false">COS($E$6*(23.4393-46.815*K25/3600))*Z25-SIN($E$6*(23.4393-46.815*K25/3600))*AA25</f>
        <v>-0.124777495114576</v>
      </c>
      <c r="AC25" s="32" t="n">
        <f aca="false">SIN($E$6*(23.4393-46.815*K25/3600))*Z25+COS($E$6*(23.4393-46.815*K25/3600))*AA25</f>
        <v>-0.133553515564445</v>
      </c>
      <c r="AD25" s="32" t="n">
        <f aca="false">SQRT(1-AC25*AC25)</f>
        <v>0.991041602799992</v>
      </c>
      <c r="AE25" s="31" t="n">
        <f aca="false">ATAN(AC25/AD25)/$E$6</f>
        <v>-7.67498501923616</v>
      </c>
      <c r="AF25" s="32" t="n">
        <f aca="false">IF(24*ATAN(AB25/(Y25+AD25))/PI()&gt;0,24*ATAN(AB25/(Y25+AD25))/PI(),24*ATAN(AB25/(Y25+AD25))/PI()+24)</f>
        <v>23.517797012286</v>
      </c>
      <c r="AG25" s="31" t="n">
        <f aca="false">IF(L25-15*AF25&gt;0,L25-15*AF25,360+L25-15*AF25)</f>
        <v>265.041605028319</v>
      </c>
      <c r="AH25" s="29" t="n">
        <f aca="false">0.950724+0.051818*COS(O25)+0.009531*COS(2*Q25-O25)+0.007843*COS(2*Q25)+0.002824*COS(2*O25)+0.000857*COS(2*Q25+O25)+0.000533*COS(2*Q25-P25)*(1-0.002495*(J25-2415020)/36525)+0.000401*COS(2*Q25-P25-O25)*(1-0.002495*(J25-2415020)/36525)+0.00032*COS(O25-P25)*(1-0.002495*(J25-2415020)/36525)-0.000271*COS(Q25)</f>
        <v>0.968354348068088</v>
      </c>
      <c r="AI25" s="32" t="n">
        <f aca="false">ASIN(COS($E$6*$E$2)*COS($E$6*AE25)*COS($E$6*AG25)+SIN($E$6*$E$2)*SIN($E$6*AE25))/$E$6</f>
        <v>-9.05415012144852</v>
      </c>
      <c r="AJ25" s="29" t="n">
        <f aca="false">ASIN((0.9983271+0.0016764*COS($E$6*2*$E$2))*COS($E$6*AI25)*SIN($E$6*AH25))/$E$6</f>
        <v>0.954409250910046</v>
      </c>
      <c r="AK25" s="29" t="n">
        <f aca="false">AI25-AJ25</f>
        <v>-10.0085593723586</v>
      </c>
      <c r="AL25" s="31" t="n">
        <f aca="false"> MOD(280.4664567 + 360007.6982779*K25/10 + 0.03032028*K25^2/100 + K25^3/49931000,360)</f>
        <v>250.314342370739</v>
      </c>
      <c r="AM25" s="29" t="n">
        <f aca="false"> AL25 + (1.9146 - 0.004817*K25 - 0.000014*K25^2)*SIN(P25)+ (0.019993 - 0.000101*K25)*SIN(2*P25)+ 0.00029*SIN(3*P25)</f>
        <v>249.253128618384</v>
      </c>
      <c r="AN25" s="29" t="n">
        <f aca="false">ACOS(COS(V25-$E$6*AM25)*COS(X25))/$E$6</f>
        <v>101.04262381217</v>
      </c>
      <c r="AO25" s="24" t="n">
        <f aca="false">180 - AN25 -0.1468*(1-0.0549*SIN(P25))*SIN($E$6*AN25)/(1-0.0167*SIN($E$6*AM25))</f>
        <v>78.8112657370133</v>
      </c>
      <c r="AP25" s="48" t="n">
        <f aca="false">SIN($E$6*AG25)</f>
        <v>-0.996257723129599</v>
      </c>
      <c r="AQ25" s="48" t="n">
        <f aca="false">COS($E$6*AG25)*SIN($E$6*$E$2) - TAN($E$6*AE25)*COS($E$6*$E$2)</f>
        <v>0.0204115317290042</v>
      </c>
      <c r="AR25" s="48" t="n">
        <f aca="false">IF(OR(AND(AP25*AQ25&gt;0), AND(AP25&lt;0,AQ25&gt;0)), MOD(ATAN2(AQ25,AP25)/$E$6+360,360),  ATAN2(AQ25,AP25)/$E$6)</f>
        <v>271.17372342246</v>
      </c>
      <c r="AS25" s="20" t="n">
        <f aca="false"> 385000.56 + (-20905355*COS(O25) - 3699111*COS(2*Q25-O25) - 2955968*COS(2*Q25) - 569925*COS(2*O25) + (1-0.002516*K25)*48888*COS(P25) - 3149*COS(2*R25)  +246158*COS(2*Q25-2*O25) -(1-0.002516*K25)*152138*COS(2*Q25-P25-O25) -170733*COS(2*Q25+O25) -(1-0.002516*K25)*204586*COS(2*Q25-P25) -(1-0.002516*K25)*129620*COS(P25-O25)  + 108743*COS(Q25) +(1-0.002516*K25)*104755*COS(P25+O25) +10321*COS(2*Q25-2*R25) +79661*COS(O25-2*R25) -34782*COS(4*Q25-O25) -23210*COS(3*O25)  -21636*COS(4*Q25-2*O25) +(1-0.002516*K25)*24208*COS(2*Q25+P25-O25) +(1-0.002516*K25)*30824*COS(2*Q25+P25) -8379*COS(Q25-O25) -(1-0.002516*K25)*16675*COS(Q25+P25)  -(1-0.002516*K25)*12831*COS(2*Q25-P25+O25) -10445*COS(2*Q25+2*O25) -11650*COS(4*Q25) +14403*COS(2*Q25-3*O25) -(1-0.002516*K25)*7003*COS(P25-2*O25)  + (1-0.002516*K25)*10056*COS(2*Q25-P25-2*O25) +6322*COS(Q25+O25) -(1-0.002516*K25)*(1-0.002516*K25)*9884*COS(2*Q25-2*P25) +(1-0.002516*K25)*5751*COS(P25+2*O25) -(1-0.002516*K25)*(1-0.002516*K25)*4950*COS(2*Q25-2*P25-O25)  +4130*COS(2*Q25+O25-2*R25) -(1-0.002516*K25)*3958*COS(4*Q25-P25-O25) +3258*COS(3*Q25-O25) +(1-0.002516*K25)*2616*COS(2*Q25+P25+O25) -(1-0.002516*K25)*1897*COS(4*Q25-P25-2*O25)  -(1-0.002516*K25)*(1-0.002516*K25)*2117*COS(2*P25-O25) +(1-0.002516*K25)*(1-0.002516*K25)*2354*COS(2*Q25+2*P25-O25) -1423*COS(4*Q25+O25) -1117*COS(4*O25) -(1-0.002516*K25)*1571*COS(4*Q25-P25)  -1739*COS(Q25-2*O25) -4421*COS(2*O25-2*R25) +(1-0.002516*K25)*(1-0.002516*K25)*1165*COS(2*P25+O25) +8752*COS(2*Q25-O25-2*R25))/1000</f>
        <v>377387.687852241</v>
      </c>
      <c r="AT25" s="24" t="n">
        <f aca="false">60*ATAN(3476/AS25)/$E$6</f>
        <v>31.6631152925137</v>
      </c>
      <c r="AU25" s="28" t="n">
        <f aca="false">ATAN(0.99664719*TAN($E$6*input!$D$2))</f>
        <v>0.871010436227447</v>
      </c>
      <c r="AV25" s="28" t="n">
        <f aca="false">COS(AU25)</f>
        <v>0.644053912545846</v>
      </c>
      <c r="AW25" s="28" t="n">
        <f aca="false">0.99664719*SIN(AU25)</f>
        <v>0.762415269897027</v>
      </c>
      <c r="AX25" s="28" t="n">
        <f aca="false">6378.14/AS25</f>
        <v>0.0169007633404756</v>
      </c>
      <c r="AY25" s="31" t="n">
        <f aca="false">L25-15*AF25</f>
        <v>-94.9583949716811</v>
      </c>
      <c r="AZ25" s="29" t="n">
        <f aca="false">COS($E$6*AE25)*SIN($E$6*AY25)</f>
        <v>-0.987332850732229</v>
      </c>
      <c r="BA25" s="29" t="n">
        <f aca="false">COS($E$6*AE25)*COS($E$6*AY25)-AV25*AX25</f>
        <v>-0.0965430458405916</v>
      </c>
      <c r="BB25" s="29" t="n">
        <f aca="false">SIN($E$6*AE25)-AW25*AX25</f>
        <v>-0.14643891560814</v>
      </c>
      <c r="BC25" s="45" t="n">
        <f aca="false">SQRT(AZ25^2+BA25^2+BB25^2)</f>
        <v>1.00279164029209</v>
      </c>
      <c r="BD25" s="20" t="n">
        <f aca="false">AS25*BC25</f>
        <v>378441.218527388</v>
      </c>
      <c r="BE25" s="30" t="str">
        <f aca="false">IF(OR(AND(BD25&gt;BD24,BD25&gt;BD26),AND(BD25&lt;BD24,BD25&lt;BD26)),BD25,"")</f>
        <v/>
      </c>
    </row>
    <row r="26" customFormat="false" ht="15" hidden="false" customHeight="false" outlineLevel="0" collapsed="false">
      <c r="A26" s="31" t="n">
        <v>12</v>
      </c>
      <c r="B26" s="30" t="n">
        <f aca="false">$B$2</f>
        <v>1</v>
      </c>
      <c r="C26" s="30" t="n">
        <f aca="false">C25</f>
        <v>12</v>
      </c>
      <c r="D26" s="30" t="n">
        <f aca="false">$D$2</f>
        <v>2022</v>
      </c>
      <c r="F26" s="38" t="n">
        <f aca="false">AK26</f>
        <v>-5.26422754077938</v>
      </c>
      <c r="G26" s="39" t="n">
        <f aca="false">F26+1.02/(TAN($E$6*(F26+10.3/(F26+5.11)))*60)</f>
        <v>-5.26973521548014</v>
      </c>
      <c r="H26" s="38" t="n">
        <f aca="false">100*(1+COS($E$6*AO26))/2</f>
        <v>59.9260712573632</v>
      </c>
      <c r="I26" s="38" t="n">
        <f aca="false">IF(AG26&gt;180, AR26-180,AR26+180)</f>
        <v>96.6225533541507</v>
      </c>
      <c r="J26" s="31" t="n">
        <f aca="false">INT(365.25*IF(C26&gt;2,D26+4716,D26-1+4716))+INT(30.6001*IF(C26&gt;2,C26+1,C26+12+1))+B26+A26/24+2-INT(IF(C26&gt;2,D26,D26-1)/100)+INT(INT(IF(C26&gt;2,D26,D26-1)/100)/4)-1524.5</f>
        <v>2459915</v>
      </c>
      <c r="K26" s="47" t="n">
        <f aca="false">(J26-2451545)/36525</f>
        <v>0.229158110882957</v>
      </c>
      <c r="L26" s="31" t="n">
        <f aca="false">MOD(280.46061837+360.98564736629*(J26-2451545)+0.000387933*K26^2-K26^3/38710000+$E$4,360)</f>
        <v>265.329094588757</v>
      </c>
      <c r="M26" s="28" t="n">
        <f aca="false">0.606433+1336.855225*K26 - INT(0.606433+1336.855225*K26)</f>
        <v>0.957650885010253</v>
      </c>
      <c r="N26" s="31" t="n">
        <f aca="false">22640*SIN(O26)-4586*SIN(O26-2*Q26)+2370*SIN(2*Q26)+769*SIN(2*O26)-668*SIN(P26)-412*SIN(2*R26)-212*SIN(2*O26-2*Q26)-206*SIN(O26+P26-2*Q26)+192*SIN(O26+2*Q26)-165*SIN(P26-2*Q26)-125*SIN(Q26)-110*SIN(O26+P26)+148*SIN(O26-P26)-55*SIN(2*R26-2*Q26)</f>
        <v>21077.2600267854</v>
      </c>
      <c r="O26" s="29" t="n">
        <f aca="false">2*PI()*(0.374897+1325.55241*K26 - INT(0.374897+1325.55241*K26))</f>
        <v>0.854407342360677</v>
      </c>
      <c r="P26" s="32" t="n">
        <f aca="false">2*PI()*(0.993133+99.997361*K26 - INT(0.993133+99.997361*K26))</f>
        <v>5.70726439527924</v>
      </c>
      <c r="Q26" s="32" t="n">
        <f aca="false">2*PI()*(0.827361+1236.853086*K26 - INT(0.827361+1236.853086*K26))</f>
        <v>1.6479389356067</v>
      </c>
      <c r="R26" s="32" t="n">
        <f aca="false">2*PI()*(0.259086+1342.227825*K26 - INT(0.259086+1342.227825*K26))</f>
        <v>5.2871669279801</v>
      </c>
      <c r="S26" s="32" t="n">
        <f aca="false">R26+(N26+412*SIN(2*R26)+541*SIN(P26))/206264.8062</f>
        <v>5.38610112739162</v>
      </c>
      <c r="T26" s="32" t="n">
        <f aca="false">R26-2*Q26</f>
        <v>1.9912890567667</v>
      </c>
      <c r="U26" s="24" t="n">
        <f aca="false">-526*SIN(T26)+44*SIN(O26+T26)-31*SIN(-O26+T26)-23*SIN(P26+T26)+11*SIN(-P26+T26)-25*SIN(-2*O26+R26)+21*SIN(-O26+R26)</f>
        <v>-521.831333246745</v>
      </c>
      <c r="V26" s="32" t="n">
        <f aca="false">2*PI()*(M26+N26/1296000-INT(M26+N26/1296000))</f>
        <v>6.11928341031683</v>
      </c>
      <c r="W26" s="31" t="n">
        <f aca="false">V26/$E$6</f>
        <v>350.609113055576</v>
      </c>
      <c r="X26" s="32" t="n">
        <f aca="false">(18520*SIN(S26)+U26)/206264.8062</f>
        <v>-0.0726998308597072</v>
      </c>
      <c r="Y26" s="32" t="n">
        <f aca="false">COS(X26)*COS(V26)</f>
        <v>0.983992058225881</v>
      </c>
      <c r="Z26" s="32" t="n">
        <f aca="false">COS(X26)*SIN(V26)</f>
        <v>-0.162738037119758</v>
      </c>
      <c r="AA26" s="32" t="n">
        <f aca="false">SIN(X26)</f>
        <v>-0.0726358081307152</v>
      </c>
      <c r="AB26" s="32" t="n">
        <f aca="false">COS($E$6*(23.4393-46.815*K26/3600))*Z26-SIN($E$6*(23.4393-46.815*K26/3600))*AA26</f>
        <v>-0.120423177124336</v>
      </c>
      <c r="AC26" s="32" t="n">
        <f aca="false">SIN($E$6*(23.4393-46.815*K26/3600))*Z26+COS($E$6*(23.4393-46.815*K26/3600))*AA26</f>
        <v>-0.131369280121628</v>
      </c>
      <c r="AD26" s="32" t="n">
        <f aca="false">SQRT(1-AC26*AC26)</f>
        <v>0.991333502026601</v>
      </c>
      <c r="AE26" s="31" t="n">
        <f aca="false">ATAN(AC26/AD26)/$E$6</f>
        <v>-7.54872493718846</v>
      </c>
      <c r="AF26" s="32" t="n">
        <f aca="false">IF(24*ATAN(AB26/(Y26+AD26))/PI()&gt;0,24*ATAN(AB26/(Y26+AD26))/PI(),24*ATAN(AB26/(Y26+AD26))/PI()+24)</f>
        <v>23.5348472403039</v>
      </c>
      <c r="AG26" s="31" t="n">
        <f aca="false">IF(L26-15*AF26&gt;0,L26-15*AF26,360+L26-15*AF26)</f>
        <v>272.306385984199</v>
      </c>
      <c r="AH26" s="29" t="n">
        <f aca="false">0.950724+0.051818*COS(O26)+0.009531*COS(2*Q26-O26)+0.007843*COS(2*Q26)+0.002824*COS(2*O26)+0.000857*COS(2*Q26+O26)+0.000533*COS(2*Q26-P26)*(1-0.002495*(J26-2415020)/36525)+0.000401*COS(2*Q26-P26-O26)*(1-0.002495*(J26-2415020)/36525)+0.00032*COS(O26-P26)*(1-0.002495*(J26-2415020)/36525)-0.000271*COS(Q26)</f>
        <v>0.968139990296979</v>
      </c>
      <c r="AI26" s="32" t="n">
        <f aca="false">ASIN(COS($E$6*$E$2)*COS($E$6*AE26)*COS($E$6*AG26)+SIN($E$6*$E$2)*SIN($E$6*AE26))/$E$6</f>
        <v>-4.30071014845788</v>
      </c>
      <c r="AJ26" s="29" t="n">
        <f aca="false">ASIN((0.9983271+0.0016764*COS($E$6*2*$E$2))*COS($E$6*AI26)*SIN($E$6*AH26))/$E$6</f>
        <v>0.963517392321504</v>
      </c>
      <c r="AK26" s="29" t="n">
        <f aca="false">AI26-AJ26</f>
        <v>-5.26422754077938</v>
      </c>
      <c r="AL26" s="31" t="n">
        <f aca="false"> MOD(280.4664567 + 360007.6982779*K26/10 + 0.03032028*K26^2/100 + K26^3/49931000,360)</f>
        <v>250.334876690969</v>
      </c>
      <c r="AM26" s="29" t="n">
        <f aca="false"> AL26 + (1.9146 - 0.004817*K26 - 0.000014*K26^2)*SIN(P26)+ (0.019993 - 0.000101*K26)*SIN(2*P26)+ 0.00029*SIN(3*P26)</f>
        <v>249.274243772928</v>
      </c>
      <c r="AN26" s="29" t="n">
        <f aca="false">ACOS(COS(V26-$E$6*AM26)*COS(X26))/$E$6</f>
        <v>101.304533375493</v>
      </c>
      <c r="AO26" s="24" t="n">
        <f aca="false">180 - AN26 -0.1468*(1-0.0549*SIN(P26))*SIN($E$6*AN26)/(1-0.0167*SIN($E$6*AM26))</f>
        <v>78.5494906934309</v>
      </c>
      <c r="AP26" s="48" t="n">
        <f aca="false">SIN($E$6*AG26)</f>
        <v>-0.999189915961051</v>
      </c>
      <c r="AQ26" s="48" t="n">
        <f aca="false">COS($E$6*AG26)*SIN($E$6*$E$2) - TAN($E$6*AE26)*COS($E$6*$E$2)</f>
        <v>0.116008812760526</v>
      </c>
      <c r="AR26" s="48" t="n">
        <f aca="false">IF(OR(AND(AP26*AQ26&gt;0), AND(AP26&lt;0,AQ26&gt;0)), MOD(ATAN2(AQ26,AP26)/$E$6+360,360),  ATAN2(AQ26,AP26)/$E$6)</f>
        <v>276.622553354151</v>
      </c>
      <c r="AS26" s="20" t="n">
        <f aca="false"> 385000.56 + (-20905355*COS(O26) - 3699111*COS(2*Q26-O26) - 2955968*COS(2*Q26) - 569925*COS(2*O26) + (1-0.002516*K26)*48888*COS(P26) - 3149*COS(2*R26)  +246158*COS(2*Q26-2*O26) -(1-0.002516*K26)*152138*COS(2*Q26-P26-O26) -170733*COS(2*Q26+O26) -(1-0.002516*K26)*204586*COS(2*Q26-P26) -(1-0.002516*K26)*129620*COS(P26-O26)  + 108743*COS(Q26) +(1-0.002516*K26)*104755*COS(P26+O26) +10321*COS(2*Q26-2*R26) +79661*COS(O26-2*R26) -34782*COS(4*Q26-O26) -23210*COS(3*O26)  -21636*COS(4*Q26-2*O26) +(1-0.002516*K26)*24208*COS(2*Q26+P26-O26) +(1-0.002516*K26)*30824*COS(2*Q26+P26) -8379*COS(Q26-O26) -(1-0.002516*K26)*16675*COS(Q26+P26)  -(1-0.002516*K26)*12831*COS(2*Q26-P26+O26) -10445*COS(2*Q26+2*O26) -11650*COS(4*Q26) +14403*COS(2*Q26-3*O26) -(1-0.002516*K26)*7003*COS(P26-2*O26)  + (1-0.002516*K26)*10056*COS(2*Q26-P26-2*O26) +6322*COS(Q26+O26) -(1-0.002516*K26)*(1-0.002516*K26)*9884*COS(2*Q26-2*P26) +(1-0.002516*K26)*5751*COS(P26+2*O26) -(1-0.002516*K26)*(1-0.002516*K26)*4950*COS(2*Q26-2*P26-O26)  +4130*COS(2*Q26+O26-2*R26) -(1-0.002516*K26)*3958*COS(4*Q26-P26-O26) +3258*COS(3*Q26-O26) +(1-0.002516*K26)*2616*COS(2*Q26+P26+O26) -(1-0.002516*K26)*1897*COS(4*Q26-P26-2*O26)  -(1-0.002516*K26)*(1-0.002516*K26)*2117*COS(2*P26-O26) +(1-0.002516*K26)*(1-0.002516*K26)*2354*COS(2*Q26+2*P26-O26) -1423*COS(4*Q26+O26) -1117*COS(4*O26) -(1-0.002516*K26)*1571*COS(4*Q26-P26)  -1739*COS(Q26-2*O26) -4421*COS(2*O26-2*R26) +(1-0.002516*K26)*(1-0.002516*K26)*1165*COS(2*P26+O26) +8752*COS(2*Q26-O26-2*R26))/1000</f>
        <v>377470.14706847</v>
      </c>
      <c r="AT26" s="24" t="n">
        <f aca="false">60*ATAN(3476/AS26)/$E$6</f>
        <v>31.6561988036678</v>
      </c>
      <c r="AU26" s="28" t="n">
        <f aca="false">ATAN(0.99664719*TAN($E$6*input!$D$2))</f>
        <v>0.871010436227447</v>
      </c>
      <c r="AV26" s="28" t="n">
        <f aca="false">COS(AU26)</f>
        <v>0.644053912545846</v>
      </c>
      <c r="AW26" s="28" t="n">
        <f aca="false">0.99664719*SIN(AU26)</f>
        <v>0.762415269897027</v>
      </c>
      <c r="AX26" s="28" t="n">
        <f aca="false">6378.14/AS26</f>
        <v>0.0168970713301019</v>
      </c>
      <c r="AY26" s="31" t="n">
        <f aca="false">L26-15*AF26</f>
        <v>-87.6936140158014</v>
      </c>
      <c r="AZ26" s="29" t="n">
        <f aca="false">COS($E$6*AE26)*SIN($E$6*AY26)</f>
        <v>-0.990530438579334</v>
      </c>
      <c r="BA26" s="29" t="n">
        <f aca="false">COS($E$6*AE26)*COS($E$6*AY26)-AV26*AX26</f>
        <v>0.0290117667872996</v>
      </c>
      <c r="BB26" s="29" t="n">
        <f aca="false">SIN($E$6*AE26)-AW26*AX26</f>
        <v>-0.144251865320237</v>
      </c>
      <c r="BC26" s="45" t="n">
        <f aca="false">SQRT(AZ26^2+BA26^2+BB26^2)</f>
        <v>1.00139943729396</v>
      </c>
      <c r="BD26" s="20" t="n">
        <f aca="false">AS26*BC26</f>
        <v>377998.392869634</v>
      </c>
      <c r="BE26" s="30" t="str">
        <f aca="false">IF(OR(AND(BD26&gt;BD25,BD26&gt;BD27),AND(BD26&lt;BD25,BD26&lt;BD27)),BD26,"")</f>
        <v/>
      </c>
    </row>
    <row r="27" customFormat="false" ht="15" hidden="false" customHeight="false" outlineLevel="0" collapsed="false">
      <c r="A27" s="31" t="n">
        <v>12.5</v>
      </c>
      <c r="B27" s="30" t="n">
        <f aca="false">$B$2</f>
        <v>1</v>
      </c>
      <c r="C27" s="30" t="n">
        <f aca="false">C26</f>
        <v>12</v>
      </c>
      <c r="D27" s="30" t="n">
        <f aca="false">$D$2</f>
        <v>2022</v>
      </c>
      <c r="F27" s="38" t="n">
        <f aca="false">AK27</f>
        <v>-0.563467930656998</v>
      </c>
      <c r="G27" s="39" t="n">
        <f aca="false">F27+1.02/(TAN($E$6*(F27+10.3/(F27+5.11)))*60)</f>
        <v>0.00864991928557446</v>
      </c>
      <c r="H27" s="38" t="n">
        <f aca="false">100*(1+COS($E$6*AO27))/2</f>
        <v>60.1497560480394</v>
      </c>
      <c r="I27" s="38" t="n">
        <f aca="false">IF(AG27&gt;180, AR27-180,AR27+180)</f>
        <v>102.084292052823</v>
      </c>
      <c r="J27" s="31" t="n">
        <f aca="false">INT(365.25*IF(C27&gt;2,D27+4716,D27-1+4716))+INT(30.6001*IF(C27&gt;2,C27+1,C27+12+1))+B27+A27/24+2-INT(IF(C27&gt;2,D27,D27-1)/100)+INT(INT(IF(C27&gt;2,D27,D27-1)/100)/4)-1524.5</f>
        <v>2459915.02083333</v>
      </c>
      <c r="K27" s="47" t="n">
        <f aca="false">(J27-2451545)/36525</f>
        <v>0.229158681268542</v>
      </c>
      <c r="L27" s="31" t="n">
        <f aca="false">MOD(280.46061837+360.98564736629*(J27-2451545)+0.000387933*K27^2-K27^3/38710000+$E$4,360)</f>
        <v>272.849628964905</v>
      </c>
      <c r="M27" s="28" t="n">
        <f aca="false">0.606433+1336.855225*K27 - INT(0.606433+1336.855225*K27)</f>
        <v>0.958413407959711</v>
      </c>
      <c r="N27" s="31" t="n">
        <f aca="false">22640*SIN(O27)-4586*SIN(O27-2*Q27)+2370*SIN(2*Q27)+769*SIN(2*O27)-668*SIN(P27)-412*SIN(2*R27)-212*SIN(2*O27-2*Q27)-206*SIN(O27+P27-2*Q27)+192*SIN(O27+2*Q27)-165*SIN(P27-2*Q27)-125*SIN(Q27)-110*SIN(O27+P27)+148*SIN(O27-P27)-55*SIN(2*R27-2*Q27)</f>
        <v>21109.2381900245</v>
      </c>
      <c r="O27" s="29" t="n">
        <f aca="false">2*PI()*(0.374897+1325.55241*K27 - INT(0.374897+1325.55241*K27))</f>
        <v>0.859157907891157</v>
      </c>
      <c r="P27" s="32" t="n">
        <f aca="false">2*PI()*(0.993133+99.997361*K27 - INT(0.993133+99.997361*K27))</f>
        <v>5.70762276965413</v>
      </c>
      <c r="Q27" s="32" t="n">
        <f aca="false">2*PI()*(0.827361+1236.853086*K27 - INT(0.827361+1236.853086*K27))</f>
        <v>1.65237161710067</v>
      </c>
      <c r="R27" s="32" t="n">
        <f aca="false">2*PI()*(0.259086+1342.227825*K27 - INT(0.259086+1342.227825*K27))</f>
        <v>5.2919772555024</v>
      </c>
      <c r="S27" s="32" t="n">
        <f aca="false">R27+(N27+412*SIN(2*R27)+541*SIN(P27))/206264.8062</f>
        <v>5.39105950479776</v>
      </c>
      <c r="T27" s="32" t="n">
        <f aca="false">R27-2*Q27</f>
        <v>1.98723402130106</v>
      </c>
      <c r="U27" s="24" t="n">
        <f aca="false">-526*SIN(T27)+44*SIN(O27+T27)-31*SIN(-O27+T27)-23*SIN(P27+T27)+11*SIN(-P27+T27)-25*SIN(-2*O27+R27)+21*SIN(-O27+R27)</f>
        <v>-522.664205095638</v>
      </c>
      <c r="V27" s="32" t="n">
        <f aca="false">2*PI()*(M27+N27/1296000-INT(M27+N27/1296000))</f>
        <v>6.12422951781961</v>
      </c>
      <c r="W27" s="31" t="n">
        <f aca="false">V27/$E$6</f>
        <v>350.892504140503</v>
      </c>
      <c r="X27" s="32" t="n">
        <f aca="false">(18520*SIN(S27)+U27)/206264.8062</f>
        <v>-0.0724252506849844</v>
      </c>
      <c r="Y27" s="32" t="n">
        <f aca="false">COS(X27)*COS(V27)</f>
        <v>0.984804594406892</v>
      </c>
      <c r="Z27" s="32" t="n">
        <f aca="false">COS(X27)*SIN(V27)</f>
        <v>-0.15787228684147</v>
      </c>
      <c r="AA27" s="32" t="n">
        <f aca="false">SIN(X27)</f>
        <v>-0.0723619505162885</v>
      </c>
      <c r="AB27" s="32" t="n">
        <f aca="false">COS($E$6*(23.4393-46.815*K27/3600))*Z27-SIN($E$6*(23.4393-46.815*K27/3600))*AA27</f>
        <v>-0.116067759455617</v>
      </c>
      <c r="AC27" s="32" t="n">
        <f aca="false">SIN($E$6*(23.4393-46.815*K27/3600))*Z27+COS($E$6*(23.4393-46.815*K27/3600))*AA27</f>
        <v>-0.129182762201581</v>
      </c>
      <c r="AD27" s="32" t="n">
        <f aca="false">SQRT(1-AC27*AC27)</f>
        <v>0.99162080149116</v>
      </c>
      <c r="AE27" s="31" t="n">
        <f aca="false">ATAN(AC27/AD27)/$E$6</f>
        <v>-7.42236983394381</v>
      </c>
      <c r="AF27" s="32" t="n">
        <f aca="false">IF(24*ATAN(AB27/(Y27+AD27))/PI()&gt;0,24*ATAN(AB27/(Y27+AD27))/PI(),24*ATAN(AB27/(Y27+AD27))/PI()+24)</f>
        <v>23.5518803062904</v>
      </c>
      <c r="AG27" s="31" t="n">
        <f aca="false">IF(L27-15*AF27&gt;0,L27-15*AF27,360+L27-15*AF27)</f>
        <v>279.571424370548</v>
      </c>
      <c r="AH27" s="29" t="n">
        <f aca="false">0.950724+0.051818*COS(O27)+0.009531*COS(2*Q27-O27)+0.007843*COS(2*Q27)+0.002824*COS(2*O27)+0.000857*COS(2*Q27+O27)+0.000533*COS(2*Q27-P27)*(1-0.002495*(J27-2415020)/36525)+0.000401*COS(2*Q27-P27-O27)*(1-0.002495*(J27-2415020)/36525)+0.00032*COS(O27-P27)*(1-0.002495*(J27-2415020)/36525)-0.000271*COS(Q27)</f>
        <v>0.967925749839033</v>
      </c>
      <c r="AI27" s="32" t="n">
        <f aca="false">ASIN(COS($E$6*$E$2)*COS($E$6*AE27)*COS($E$6*AG27)+SIN($E$6*$E$2)*SIN($E$6*AE27))/$E$6</f>
        <v>0.402532786330362</v>
      </c>
      <c r="AJ27" s="29" t="n">
        <f aca="false">ASIN((0.9983271+0.0016764*COS($E$6*2*$E$2))*COS($E$6*AI27)*SIN($E$6*AH27))/$E$6</f>
        <v>0.96600071698736</v>
      </c>
      <c r="AK27" s="29" t="n">
        <f aca="false">AI27-AJ27</f>
        <v>-0.563467930656998</v>
      </c>
      <c r="AL27" s="31" t="n">
        <f aca="false"> MOD(280.4664567 + 360007.6982779*K27/10 + 0.03032028*K27^2/100 + K27^3/49931000,360)</f>
        <v>250.355411011205</v>
      </c>
      <c r="AM27" s="29" t="n">
        <f aca="false"> AL27 + (1.9146 - 0.004817*K27 - 0.000014*K27^2)*SIN(P27)+ (0.019993 - 0.000101*K27)*SIN(2*P27)+ 0.00029*SIN(3*P27)</f>
        <v>249.295359071019</v>
      </c>
      <c r="AN27" s="29" t="n">
        <f aca="false">ACOS(COS(V27-$E$6*AM27)*COS(X27))/$E$6</f>
        <v>101.566322023115</v>
      </c>
      <c r="AO27" s="24" t="n">
        <f aca="false">180 - AN27 -0.1468*(1-0.0549*SIN(P27))*SIN($E$6*AN27)/(1-0.0167*SIN($E$6*AM27))</f>
        <v>78.2878395482109</v>
      </c>
      <c r="AP27" s="48" t="n">
        <f aca="false">SIN($E$6*AG27)</f>
        <v>-0.986079088486441</v>
      </c>
      <c r="AQ27" s="48" t="n">
        <f aca="false">COS($E$6*AG27)*SIN($E$6*$E$2) - TAN($E$6*AE27)*COS($E$6*$E$2)</f>
        <v>0.211114292507192</v>
      </c>
      <c r="AR27" s="48" t="n">
        <f aca="false">IF(OR(AND(AP27*AQ27&gt;0), AND(AP27&lt;0,AQ27&gt;0)), MOD(ATAN2(AQ27,AP27)/$E$6+360,360),  ATAN2(AQ27,AP27)/$E$6)</f>
        <v>282.084292052823</v>
      </c>
      <c r="AS27" s="20" t="n">
        <f aca="false"> 385000.56 + (-20905355*COS(O27) - 3699111*COS(2*Q27-O27) - 2955968*COS(2*Q27) - 569925*COS(2*O27) + (1-0.002516*K27)*48888*COS(P27) - 3149*COS(2*R27)  +246158*COS(2*Q27-2*O27) -(1-0.002516*K27)*152138*COS(2*Q27-P27-O27) -170733*COS(2*Q27+O27) -(1-0.002516*K27)*204586*COS(2*Q27-P27) -(1-0.002516*K27)*129620*COS(P27-O27)  + 108743*COS(Q27) +(1-0.002516*K27)*104755*COS(P27+O27) +10321*COS(2*Q27-2*R27) +79661*COS(O27-2*R27) -34782*COS(4*Q27-O27) -23210*COS(3*O27)  -21636*COS(4*Q27-2*O27) +(1-0.002516*K27)*24208*COS(2*Q27+P27-O27) +(1-0.002516*K27)*30824*COS(2*Q27+P27) -8379*COS(Q27-O27) -(1-0.002516*K27)*16675*COS(Q27+P27)  -(1-0.002516*K27)*12831*COS(2*Q27-P27+O27) -10445*COS(2*Q27+2*O27) -11650*COS(4*Q27) +14403*COS(2*Q27-3*O27) -(1-0.002516*K27)*7003*COS(P27-2*O27)  + (1-0.002516*K27)*10056*COS(2*Q27-P27-2*O27) +6322*COS(Q27+O27) -(1-0.002516*K27)*(1-0.002516*K27)*9884*COS(2*Q27-2*P27) +(1-0.002516*K27)*5751*COS(P27+2*O27) -(1-0.002516*K27)*(1-0.002516*K27)*4950*COS(2*Q27-2*P27-O27)  +4130*COS(2*Q27+O27-2*R27) -(1-0.002516*K27)*3958*COS(4*Q27-P27-O27) +3258*COS(3*Q27-O27) +(1-0.002516*K27)*2616*COS(2*Q27+P27+O27) -(1-0.002516*K27)*1897*COS(4*Q27-P27-2*O27)  -(1-0.002516*K27)*(1-0.002516*K27)*2117*COS(2*P27-O27) +(1-0.002516*K27)*(1-0.002516*K27)*2354*COS(2*Q27+2*P27-O27) -1423*COS(4*Q27+O27) -1117*COS(4*O27) -(1-0.002516*K27)*1571*COS(4*Q27-P27)  -1739*COS(Q27-2*O27) -4421*COS(2*O27-2*R27) +(1-0.002516*K27)*(1-0.002516*K27)*1165*COS(2*P27+O27) +8752*COS(2*Q27-O27-2*R27))/1000</f>
        <v>377552.610439101</v>
      </c>
      <c r="AT27" s="24" t="n">
        <f aca="false">60*ATAN(3476/AS27)/$E$6</f>
        <v>31.649284987518</v>
      </c>
      <c r="AU27" s="28" t="n">
        <f aca="false">ATAN(0.99664719*TAN($E$6*input!$D$2))</f>
        <v>0.871010436227447</v>
      </c>
      <c r="AV27" s="28" t="n">
        <f aca="false">COS(AU27)</f>
        <v>0.644053912545846</v>
      </c>
      <c r="AW27" s="28" t="n">
        <f aca="false">0.99664719*SIN(AU27)</f>
        <v>0.762415269897027</v>
      </c>
      <c r="AX27" s="28" t="n">
        <f aca="false">6378.14/AS27</f>
        <v>0.0168933807465458</v>
      </c>
      <c r="AY27" s="31" t="n">
        <f aca="false">L27-15*AF27</f>
        <v>-80.4285756294519</v>
      </c>
      <c r="AZ27" s="29" t="n">
        <f aca="false">COS($E$6*AE27)*SIN($E$6*AY27)</f>
        <v>-0.977816536058597</v>
      </c>
      <c r="BA27" s="29" t="n">
        <f aca="false">COS($E$6*AE27)*COS($E$6*AY27)-AV27*AX27</f>
        <v>0.154003455778055</v>
      </c>
      <c r="BB27" s="29" t="n">
        <f aca="false">SIN($E$6*AE27)-AW27*AX27</f>
        <v>-0.142062533642931</v>
      </c>
      <c r="BC27" s="45" t="n">
        <f aca="false">SQRT(AZ27^2+BA27^2+BB27^2)</f>
        <v>1.0000120029511</v>
      </c>
      <c r="BD27" s="20" t="n">
        <f aca="false">AS27*BC27</f>
        <v>377557.14218462</v>
      </c>
      <c r="BE27" s="30" t="str">
        <f aca="false">IF(OR(AND(BD27&gt;BD26,BD27&gt;BD28),AND(BD27&lt;BD26,BD27&lt;BD28)),BD27,"")</f>
        <v/>
      </c>
    </row>
    <row r="28" customFormat="false" ht="15" hidden="false" customHeight="false" outlineLevel="0" collapsed="false">
      <c r="A28" s="31" t="n">
        <v>13</v>
      </c>
      <c r="B28" s="30" t="n">
        <f aca="false">$B$2</f>
        <v>1</v>
      </c>
      <c r="C28" s="30" t="n">
        <f aca="false">C27</f>
        <v>12</v>
      </c>
      <c r="D28" s="30" t="n">
        <f aca="false">$D$2</f>
        <v>2022</v>
      </c>
      <c r="F28" s="38" t="n">
        <f aca="false">AK28</f>
        <v>4.05135132548022</v>
      </c>
      <c r="G28" s="39" t="n">
        <f aca="false">F28+1.02/(TAN($E$6*(F28+10.3/(F28+5.11)))*60)</f>
        <v>4.2390339251179</v>
      </c>
      <c r="H28" s="38" t="n">
        <f aca="false">100*(1+COS($E$6*AO28))/2</f>
        <v>60.3731235439535</v>
      </c>
      <c r="I28" s="38" t="n">
        <f aca="false">IF(AG28&gt;180, AR28-180,AR28+180)</f>
        <v>107.630278345382</v>
      </c>
      <c r="J28" s="31" t="n">
        <f aca="false">INT(365.25*IF(C28&gt;2,D28+4716,D28-1+4716))+INT(30.6001*IF(C28&gt;2,C28+1,C28+12+1))+B28+A28/24+2-INT(IF(C28&gt;2,D28,D28-1)/100)+INT(INT(IF(C28&gt;2,D28,D28-1)/100)/4)-1524.5</f>
        <v>2459915.04166667</v>
      </c>
      <c r="K28" s="47" t="n">
        <f aca="false">(J28-2451545)/36525</f>
        <v>0.229159251654114</v>
      </c>
      <c r="L28" s="31" t="n">
        <f aca="false">MOD(280.46061837+360.98564736629*(J28-2451545)+0.000387933*K28^2-K28^3/38710000+$E$4,360)</f>
        <v>280.370163172949</v>
      </c>
      <c r="M28" s="28" t="n">
        <f aca="false">0.606433+1336.855225*K28 - INT(0.606433+1336.855225*K28)</f>
        <v>0.959175930892116</v>
      </c>
      <c r="N28" s="31" t="n">
        <f aca="false">22640*SIN(O28)-4586*SIN(O28-2*Q28)+2370*SIN(2*Q28)+769*SIN(2*O28)-668*SIN(P28)-412*SIN(2*R28)-212*SIN(2*O28-2*Q28)-206*SIN(O28+P28-2*Q28)+192*SIN(O28+2*Q28)-165*SIN(P28-2*Q28)-125*SIN(Q28)-110*SIN(O28+P28)+148*SIN(O28-P28)-55*SIN(2*R28-2*Q28)</f>
        <v>21140.7446638063</v>
      </c>
      <c r="O28" s="29" t="n">
        <f aca="false">2*PI()*(0.374897+1325.55241*K28 - INT(0.374897+1325.55241*K28))</f>
        <v>0.863908473315918</v>
      </c>
      <c r="P28" s="32" t="n">
        <f aca="false">2*PI()*(0.993133+99.997361*K28 - INT(0.993133+99.997361*K28))</f>
        <v>5.70798114402104</v>
      </c>
      <c r="Q28" s="32" t="n">
        <f aca="false">2*PI()*(0.827361+1236.853086*K28 - INT(0.827361+1236.853086*K28))</f>
        <v>1.65680429849536</v>
      </c>
      <c r="R28" s="32" t="n">
        <f aca="false">2*PI()*(0.259086+1342.227825*K28 - INT(0.259086+1342.227825*K28))</f>
        <v>5.29678758291685</v>
      </c>
      <c r="S28" s="32" t="n">
        <f aca="false">R28+(N28+412*SIN(2*R28)+541*SIN(P28))/206264.8062</f>
        <v>5.39601576489758</v>
      </c>
      <c r="T28" s="32" t="n">
        <f aca="false">R28-2*Q28</f>
        <v>1.98317898592613</v>
      </c>
      <c r="U28" s="24" t="n">
        <f aca="false">-526*SIN(T28)+44*SIN(O28+T28)-31*SIN(-O28+T28)-23*SIN(P28+T28)+11*SIN(-P28+T28)-25*SIN(-2*O28+R28)+21*SIN(-O28+R28)</f>
        <v>-523.48703835294</v>
      </c>
      <c r="V28" s="32" t="n">
        <f aca="false">2*PI()*(M28+N28/1296000-INT(M28+N28/1296000))</f>
        <v>6.12917333840021</v>
      </c>
      <c r="W28" s="31" t="n">
        <f aca="false">V28/$E$6</f>
        <v>351.175764194441</v>
      </c>
      <c r="X28" s="32" t="n">
        <f aca="false">(18520*SIN(S28)+U28)/206264.8062</f>
        <v>-0.0721490236060689</v>
      </c>
      <c r="Y28" s="32" t="n">
        <f aca="false">COS(X28)*COS(V28)</f>
        <v>0.985592762669466</v>
      </c>
      <c r="Z28" s="32" t="n">
        <f aca="false">COS(X28)*SIN(V28)</f>
        <v>-0.153004740599162</v>
      </c>
      <c r="AA28" s="32" t="n">
        <f aca="false">SIN(X28)</f>
        <v>-0.0720864448266961</v>
      </c>
      <c r="AB28" s="32" t="n">
        <f aca="false">COS($E$6*(23.4393-46.815*K28/3600))*Z28-SIN($E$6*(23.4393-46.815*K28/3600))*AA28</f>
        <v>-0.111711349472758</v>
      </c>
      <c r="AC28" s="32" t="n">
        <f aca="false">SIN($E$6*(23.4393-46.815*K28/3600))*Z28+COS($E$6*(23.4393-46.815*K28/3600))*AA28</f>
        <v>-0.126994017861254</v>
      </c>
      <c r="AD28" s="32" t="n">
        <f aca="false">SQRT(1-AC28*AC28)</f>
        <v>0.991903482919309</v>
      </c>
      <c r="AE28" s="31" t="n">
        <f aca="false">ATAN(AC28/AD28)/$E$6</f>
        <v>-7.29592241586049</v>
      </c>
      <c r="AF28" s="32" t="n">
        <f aca="false">IF(24*ATAN(AB28/(Y28+AD28))/PI()&gt;0,24*ATAN(AB28/(Y28+AD28))/PI(),24*ATAN(AB28/(Y28+AD28))/PI()+24)</f>
        <v>23.5688963957632</v>
      </c>
      <c r="AG28" s="31" t="n">
        <f aca="false">IF(L28-15*AF28&gt;0,L28-15*AF28,360+L28-15*AF28)</f>
        <v>286.836717236502</v>
      </c>
      <c r="AH28" s="29" t="n">
        <f aca="false">0.950724+0.051818*COS(O28)+0.009531*COS(2*Q28-O28)+0.007843*COS(2*Q28)+0.002824*COS(2*O28)+0.000857*COS(2*Q28+O28)+0.000533*COS(2*Q28-P28)*(1-0.002495*(J28-2415020)/36525)+0.000401*COS(2*Q28-P28-O28)*(1-0.002495*(J28-2415020)/36525)+0.00032*COS(O28-P28)*(1-0.002495*(J28-2415020)/36525)-0.000271*COS(Q28)</f>
        <v>0.9677116308063</v>
      </c>
      <c r="AI28" s="32" t="n">
        <f aca="false">ASIN(COS($E$6*$E$2)*COS($E$6*AE28)*COS($E$6*AG28)+SIN($E$6*$E$2)*SIN($E$6*AE28))/$E$6</f>
        <v>5.01346682549915</v>
      </c>
      <c r="AJ28" s="29" t="n">
        <f aca="false">ASIN((0.9983271+0.0016764*COS($E$6*2*$E$2))*COS($E$6*AI28)*SIN($E$6*AH28))/$E$6</f>
        <v>0.962115500018922</v>
      </c>
      <c r="AK28" s="29" t="n">
        <f aca="false">AI28-AJ28</f>
        <v>4.05135132548022</v>
      </c>
      <c r="AL28" s="31" t="n">
        <f aca="false"> MOD(280.4664567 + 360007.6982779*K28/10 + 0.03032028*K28^2/100 + K28^3/49931000,360)</f>
        <v>250.375945330981</v>
      </c>
      <c r="AM28" s="29" t="n">
        <f aca="false"> AL28 + (1.9146 - 0.004817*K28 - 0.000014*K28^2)*SIN(P28)+ (0.019993 - 0.000101*K28)*SIN(2*P28)+ 0.00029*SIN(3*P28)</f>
        <v>249.3164745121</v>
      </c>
      <c r="AN28" s="29" t="n">
        <f aca="false">ACOS(COS(V28-$E$6*AM28)*COS(X28))/$E$6</f>
        <v>101.827989914683</v>
      </c>
      <c r="AO28" s="24" t="n">
        <f aca="false">180 - AN28 -0.1468*(1-0.0549*SIN(P28))*SIN($E$6*AN28)/(1-0.0167*SIN($E$6*AM28))</f>
        <v>78.0263121345943</v>
      </c>
      <c r="AP28" s="48" t="n">
        <f aca="false">SIN($E$6*AG28)</f>
        <v>-0.957134078798725</v>
      </c>
      <c r="AQ28" s="48" t="n">
        <f aca="false">COS($E$6*AG28)*SIN($E$6*$E$2) - TAN($E$6*AE28)*COS($E$6*$E$2)</f>
        <v>0.304177609721485</v>
      </c>
      <c r="AR28" s="48" t="n">
        <f aca="false">IF(OR(AND(AP28*AQ28&gt;0), AND(AP28&lt;0,AQ28&gt;0)), MOD(ATAN2(AQ28,AP28)/$E$6+360,360),  ATAN2(AQ28,AP28)/$E$6)</f>
        <v>287.630278345382</v>
      </c>
      <c r="AS28" s="20" t="n">
        <f aca="false"> 385000.56 + (-20905355*COS(O28) - 3699111*COS(2*Q28-O28) - 2955968*COS(2*Q28) - 569925*COS(2*O28) + (1-0.002516*K28)*48888*COS(P28) - 3149*COS(2*R28)  +246158*COS(2*Q28-2*O28) -(1-0.002516*K28)*152138*COS(2*Q28-P28-O28) -170733*COS(2*Q28+O28) -(1-0.002516*K28)*204586*COS(2*Q28-P28) -(1-0.002516*K28)*129620*COS(P28-O28)  + 108743*COS(Q28) +(1-0.002516*K28)*104755*COS(P28+O28) +10321*COS(2*Q28-2*R28) +79661*COS(O28-2*R28) -34782*COS(4*Q28-O28) -23210*COS(3*O28)  -21636*COS(4*Q28-2*O28) +(1-0.002516*K28)*24208*COS(2*Q28+P28-O28) +(1-0.002516*K28)*30824*COS(2*Q28+P28) -8379*COS(Q28-O28) -(1-0.002516*K28)*16675*COS(Q28+P28)  -(1-0.002516*K28)*12831*COS(2*Q28-P28+O28) -10445*COS(2*Q28+2*O28) -11650*COS(4*Q28) +14403*COS(2*Q28-3*O28) -(1-0.002516*K28)*7003*COS(P28-2*O28)  + (1-0.002516*K28)*10056*COS(2*Q28-P28-2*O28) +6322*COS(Q28+O28) -(1-0.002516*K28)*(1-0.002516*K28)*9884*COS(2*Q28-2*P28) +(1-0.002516*K28)*5751*COS(P28+2*O28) -(1-0.002516*K28)*(1-0.002516*K28)*4950*COS(2*Q28-2*P28-O28)  +4130*COS(2*Q28+O28-2*R28) -(1-0.002516*K28)*3958*COS(4*Q28-P28-O28) +3258*COS(3*Q28-O28) +(1-0.002516*K28)*2616*COS(2*Q28+P28+O28) -(1-0.002516*K28)*1897*COS(4*Q28-P28-2*O28)  -(1-0.002516*K28)*(1-0.002516*K28)*2117*COS(2*P28-O28) +(1-0.002516*K28)*(1-0.002516*K28)*2354*COS(2*Q28+2*P28-O28) -1423*COS(4*Q28+O28) -1117*COS(4*O28) -(1-0.002516*K28)*1571*COS(4*Q28-P28)  -1739*COS(Q28-2*O28) -4421*COS(2*O28-2*R28) +(1-0.002516*K28)*(1-0.002516*K28)*1165*COS(2*P28+O28) +8752*COS(2*Q28-O28-2*R28))/1000</f>
        <v>377635.07647821</v>
      </c>
      <c r="AT28" s="24" t="n">
        <f aca="false">60*ATAN(3476/AS28)/$E$6</f>
        <v>31.6423739670416</v>
      </c>
      <c r="AU28" s="28" t="n">
        <f aca="false">ATAN(0.99664719*TAN($E$6*input!$D$2))</f>
        <v>0.871010436227447</v>
      </c>
      <c r="AV28" s="28" t="n">
        <f aca="false">COS(AU28)</f>
        <v>0.644053912545846</v>
      </c>
      <c r="AW28" s="28" t="n">
        <f aca="false">0.99664719*SIN(AU28)</f>
        <v>0.762415269897027</v>
      </c>
      <c r="AX28" s="28" t="n">
        <f aca="false">6378.14/AS28</f>
        <v>0.016889691655452</v>
      </c>
      <c r="AY28" s="31" t="n">
        <f aca="false">L28-15*AF28</f>
        <v>-73.1632827634982</v>
      </c>
      <c r="AZ28" s="29" t="n">
        <f aca="false">COS($E$6*AE28)*SIN($E$6*AY28)</f>
        <v>-0.94938462638122</v>
      </c>
      <c r="BA28" s="29" t="n">
        <f aca="false">COS($E$6*AE28)*COS($E$6*AY28)-AV28*AX28</f>
        <v>0.276422233504369</v>
      </c>
      <c r="BB28" s="29" t="n">
        <f aca="false">SIN($E$6*AE28)-AW28*AX28</f>
        <v>-0.139870976683223</v>
      </c>
      <c r="BC28" s="45" t="n">
        <f aca="false">SQRT(AZ28^2+BA28^2+BB28^2)</f>
        <v>0.998651245482061</v>
      </c>
      <c r="BD28" s="20" t="n">
        <f aca="false">AS28*BC28</f>
        <v>377125.739462678</v>
      </c>
      <c r="BE28" s="30" t="str">
        <f aca="false">IF(OR(AND(BD28&gt;BD27,BD28&gt;BD29),AND(BD28&lt;BD27,BD28&lt;BD29)),BD28,"")</f>
        <v/>
      </c>
    </row>
    <row r="29" customFormat="false" ht="15" hidden="false" customHeight="false" outlineLevel="0" collapsed="false">
      <c r="A29" s="31" t="n">
        <v>13.5</v>
      </c>
      <c r="B29" s="30" t="n">
        <f aca="false">$B$2</f>
        <v>1</v>
      </c>
      <c r="C29" s="30" t="n">
        <f aca="false">C28</f>
        <v>12</v>
      </c>
      <c r="D29" s="30" t="n">
        <f aca="false">$D$2</f>
        <v>2022</v>
      </c>
      <c r="F29" s="38" t="n">
        <f aca="false">AK29</f>
        <v>8.53531459122818</v>
      </c>
      <c r="G29" s="39" t="n">
        <f aca="false">F29+1.02/(TAN($E$6*(F29+10.3/(F29+5.11)))*60)</f>
        <v>8.6392394009984</v>
      </c>
      <c r="H29" s="38" t="n">
        <f aca="false">100*(1+COS($E$6*AO29))/2</f>
        <v>60.5961695533249</v>
      </c>
      <c r="I29" s="38" t="n">
        <f aca="false">IF(AG29&gt;180, AR29-180,AR29+180)</f>
        <v>113.329610636236</v>
      </c>
      <c r="J29" s="31" t="n">
        <f aca="false">INT(365.25*IF(C29&gt;2,D29+4716,D29-1+4716))+INT(30.6001*IF(C29&gt;2,C29+1,C29+12+1))+B29+A29/24+2-INT(IF(C29&gt;2,D29,D29-1)/100)+INT(INT(IF(C29&gt;2,D29,D29-1)/100)/4)-1524.5</f>
        <v>2459915.0625</v>
      </c>
      <c r="K29" s="47" t="n">
        <f aca="false">(J29-2451545)/36525</f>
        <v>0.229159822039699</v>
      </c>
      <c r="L29" s="31" t="n">
        <f aca="false">MOD(280.46061837+360.98564736629*(J29-2451545)+0.000387933*K29^2-K29^3/38710000+$E$4,360)</f>
        <v>287.890697549563</v>
      </c>
      <c r="M29" s="28" t="n">
        <f aca="false">0.606433+1336.855225*K29 - INT(0.606433+1336.855225*K29)</f>
        <v>0.959938453841517</v>
      </c>
      <c r="N29" s="31" t="n">
        <f aca="false">22640*SIN(O29)-4586*SIN(O29-2*Q29)+2370*SIN(2*Q29)+769*SIN(2*O29)-668*SIN(P29)-412*SIN(2*R29)-212*SIN(2*O29-2*Q29)-206*SIN(O29+P29-2*Q29)+192*SIN(O29+2*Q29)-165*SIN(P29-2*Q29)-125*SIN(Q29)-110*SIN(O29+P29)+148*SIN(O29-P29)-55*SIN(2*R29-2*Q29)</f>
        <v>21171.7800444712</v>
      </c>
      <c r="O29" s="29" t="n">
        <f aca="false">2*PI()*(0.374897+1325.55241*K29 - INT(0.374897+1325.55241*K29))</f>
        <v>0.868659038846755</v>
      </c>
      <c r="P29" s="32" t="n">
        <f aca="false">2*PI()*(0.993133+99.997361*K29 - INT(0.993133+99.997361*K29))</f>
        <v>5.70833951839593</v>
      </c>
      <c r="Q29" s="32" t="n">
        <f aca="false">2*PI()*(0.827361+1236.853086*K29 - INT(0.827361+1236.853086*K29))</f>
        <v>1.66123697998934</v>
      </c>
      <c r="R29" s="32" t="n">
        <f aca="false">2*PI()*(0.259086+1342.227825*K29 - INT(0.259086+1342.227825*K29))</f>
        <v>5.30159791043916</v>
      </c>
      <c r="S29" s="32" t="n">
        <f aca="false">R29+(N29+412*SIN(2*R29)+541*SIN(P29))/206264.8062</f>
        <v>5.4009699115013</v>
      </c>
      <c r="T29" s="32" t="n">
        <f aca="false">R29-2*Q29</f>
        <v>1.97912395046048</v>
      </c>
      <c r="U29" s="24" t="n">
        <f aca="false">-526*SIN(T29)+44*SIN(O29+T29)-31*SIN(-O29+T29)-23*SIN(P29+T29)+11*SIN(-P29+T29)-25*SIN(-2*O29+R29)+21*SIN(-O29+R29)</f>
        <v>-524.299826701664</v>
      </c>
      <c r="V29" s="32" t="n">
        <f aca="false">2*PI()*(M29+N29/1296000-INT(M29+N29/1296000))</f>
        <v>6.13411487516372</v>
      </c>
      <c r="W29" s="31" t="n">
        <f aca="false">V29/$E$6</f>
        <v>351.458893395299</v>
      </c>
      <c r="X29" s="32" t="n">
        <f aca="false">(18520*SIN(S29)+U29)/206264.8062</f>
        <v>-0.0718711584541858</v>
      </c>
      <c r="Y29" s="32" t="n">
        <f aca="false">COS(X29)*COS(V29)</f>
        <v>0.986356574767096</v>
      </c>
      <c r="Z29" s="32" t="n">
        <f aca="false">COS(X29)*SIN(V29)</f>
        <v>-0.148135518620576</v>
      </c>
      <c r="AA29" s="32" t="n">
        <f aca="false">SIN(X29)</f>
        <v>-0.071809299792818</v>
      </c>
      <c r="AB29" s="32" t="n">
        <f aca="false">COS($E$6*(23.4393-46.815*K29/3600))*Z29-SIN($E$6*(23.4393-46.815*K29/3600))*AA29</f>
        <v>-0.107354054012503</v>
      </c>
      <c r="AC29" s="32" t="n">
        <f aca="false">SIN($E$6*(23.4393-46.815*K29/3600))*Z29+COS($E$6*(23.4393-46.815*K29/3600))*AA29</f>
        <v>-0.124803102929384</v>
      </c>
      <c r="AD29" s="32" t="n">
        <f aca="false">SQRT(1-AC29*AC29)</f>
        <v>0.992181528501311</v>
      </c>
      <c r="AE29" s="31" t="n">
        <f aca="false">ATAN(AC29/AD29)/$E$6</f>
        <v>-7.16938537019576</v>
      </c>
      <c r="AF29" s="32" t="n">
        <f aca="false">IF(24*ATAN(AB29/(Y29+AD29))/PI()&gt;0,24*ATAN(AB29/(Y29+AD29))/PI(),24*ATAN(AB29/(Y29+AD29))/PI()+24)</f>
        <v>23.5858956954534</v>
      </c>
      <c r="AG29" s="31" t="n">
        <f aca="false">IF(L29-15*AF29&gt;0,L29-15*AF29,360+L29-15*AF29)</f>
        <v>294.102262117762</v>
      </c>
      <c r="AH29" s="29" t="n">
        <f aca="false">0.950724+0.051818*COS(O29)+0.009531*COS(2*Q29-O29)+0.007843*COS(2*Q29)+0.002824*COS(2*O29)+0.000857*COS(2*Q29+O29)+0.000533*COS(2*Q29-P29)*(1-0.002495*(J29-2415020)/36525)+0.000401*COS(2*Q29-P29-O29)*(1-0.002495*(J29-2415020)/36525)+0.00032*COS(O29-P29)*(1-0.002495*(J29-2415020)/36525)-0.000271*COS(Q29)</f>
        <v>0.967497637243009</v>
      </c>
      <c r="AI29" s="32" t="n">
        <f aca="false">ASIN(COS($E$6*$E$2)*COS($E$6*AE29)*COS($E$6*AG29)+SIN($E$6*$E$2)*SIN($E$6*AE29))/$E$6</f>
        <v>9.48770225283105</v>
      </c>
      <c r="AJ29" s="29" t="n">
        <f aca="false">ASIN((0.9983271+0.0016764*COS($E$6*2*$E$2))*COS($E$6*AI29)*SIN($E$6*AH29))/$E$6</f>
        <v>0.952387661602867</v>
      </c>
      <c r="AK29" s="29" t="n">
        <f aca="false">AI29-AJ29</f>
        <v>8.53531459122818</v>
      </c>
      <c r="AL29" s="31" t="n">
        <f aca="false"> MOD(280.4664567 + 360007.6982779*K29/10 + 0.03032028*K29^2/100 + K29^3/49931000,360)</f>
        <v>250.396479651216</v>
      </c>
      <c r="AM29" s="29" t="n">
        <f aca="false"> AL29 + (1.9146 - 0.004817*K29 - 0.000014*K29^2)*SIN(P29)+ (0.019993 - 0.000101*K29)*SIN(2*P29)+ 0.00029*SIN(3*P29)</f>
        <v>249.33759009704</v>
      </c>
      <c r="AN29" s="29" t="n">
        <f aca="false">ACOS(COS(V29-$E$6*AM29)*COS(X29))/$E$6</f>
        <v>102.089537228992</v>
      </c>
      <c r="AO29" s="24" t="n">
        <f aca="false">180 - AN29 -0.1468*(1-0.0549*SIN(P29))*SIN($E$6*AN29)/(1-0.0167*SIN($E$6*AM29))</f>
        <v>77.7649082666344</v>
      </c>
      <c r="AP29" s="48" t="n">
        <f aca="false">SIN($E$6*AG29)</f>
        <v>-0.912818055062126</v>
      </c>
      <c r="AQ29" s="48" t="n">
        <f aca="false">COS($E$6*AG29)*SIN($E$6*$E$2) - TAN($E$6*AE29)*COS($E$6*$E$2)</f>
        <v>0.393680931355525</v>
      </c>
      <c r="AR29" s="48" t="n">
        <f aca="false">IF(OR(AND(AP29*AQ29&gt;0), AND(AP29&lt;0,AQ29&gt;0)), MOD(ATAN2(AQ29,AP29)/$E$6+360,360),  ATAN2(AQ29,AP29)/$E$6)</f>
        <v>293.329610636236</v>
      </c>
      <c r="AS29" s="20" t="n">
        <f aca="false"> 385000.56 + (-20905355*COS(O29) - 3699111*COS(2*Q29-O29) - 2955968*COS(2*Q29) - 569925*COS(2*O29) + (1-0.002516*K29)*48888*COS(P29) - 3149*COS(2*R29)  +246158*COS(2*Q29-2*O29) -(1-0.002516*K29)*152138*COS(2*Q29-P29-O29) -170733*COS(2*Q29+O29) -(1-0.002516*K29)*204586*COS(2*Q29-P29) -(1-0.002516*K29)*129620*COS(P29-O29)  + 108743*COS(Q29) +(1-0.002516*K29)*104755*COS(P29+O29) +10321*COS(2*Q29-2*R29) +79661*COS(O29-2*R29) -34782*COS(4*Q29-O29) -23210*COS(3*O29)  -21636*COS(4*Q29-2*O29) +(1-0.002516*K29)*24208*COS(2*Q29+P29-O29) +(1-0.002516*K29)*30824*COS(2*Q29+P29) -8379*COS(Q29-O29) -(1-0.002516*K29)*16675*COS(Q29+P29)  -(1-0.002516*K29)*12831*COS(2*Q29-P29+O29) -10445*COS(2*Q29+2*O29) -11650*COS(4*Q29) +14403*COS(2*Q29-3*O29) -(1-0.002516*K29)*7003*COS(P29-2*O29)  + (1-0.002516*K29)*10056*COS(2*Q29-P29-2*O29) +6322*COS(Q29+O29) -(1-0.002516*K29)*(1-0.002516*K29)*9884*COS(2*Q29-2*P29) +(1-0.002516*K29)*5751*COS(P29+2*O29) -(1-0.002516*K29)*(1-0.002516*K29)*4950*COS(2*Q29-2*P29-O29)  +4130*COS(2*Q29+O29-2*R29) -(1-0.002516*K29)*3958*COS(4*Q29-P29-O29) +3258*COS(3*Q29-O29) +(1-0.002516*K29)*2616*COS(2*Q29+P29+O29) -(1-0.002516*K29)*1897*COS(4*Q29-P29-2*O29)  -(1-0.002516*K29)*(1-0.002516*K29)*2117*COS(2*P29-O29) +(1-0.002516*K29)*(1-0.002516*K29)*2354*COS(2*Q29+2*P29-O29) -1423*COS(4*Q29+O29) -1117*COS(4*O29) -(1-0.002516*K29)*1571*COS(4*Q29-P29)  -1739*COS(Q29-2*O29) -4421*COS(2*O29-2*R29) +(1-0.002516*K29)*(1-0.002516*K29)*1165*COS(2*P29+O29) +8752*COS(2*Q29-O29-2*R29))/1000</f>
        <v>377717.543719868</v>
      </c>
      <c r="AT29" s="24" t="n">
        <f aca="false">60*ATAN(3476/AS29)/$E$6</f>
        <v>31.6354658633251</v>
      </c>
      <c r="AU29" s="28" t="n">
        <f aca="false">ATAN(0.99664719*TAN($E$6*input!$D$2))</f>
        <v>0.871010436227447</v>
      </c>
      <c r="AV29" s="28" t="n">
        <f aca="false">COS(AU29)</f>
        <v>0.644053912545846</v>
      </c>
      <c r="AW29" s="28" t="n">
        <f aca="false">0.99664719*SIN(AU29)</f>
        <v>0.762415269897027</v>
      </c>
      <c r="AX29" s="28" t="n">
        <f aca="false">6378.14/AS29</f>
        <v>0.0168860041214562</v>
      </c>
      <c r="AY29" s="31" t="n">
        <f aca="false">L29-15*AF29</f>
        <v>-65.8977378822385</v>
      </c>
      <c r="AZ29" s="29" t="n">
        <f aca="false">COS($E$6*AE29)*SIN($E$6*AY29)</f>
        <v>-0.905681213115134</v>
      </c>
      <c r="BA29" s="29" t="n">
        <f aca="false">COS($E$6*AE29)*COS($E$6*AY29)-AV29*AX29</f>
        <v>0.394298201173907</v>
      </c>
      <c r="BB29" s="29" t="n">
        <f aca="false">SIN($E$6*AE29)-AW29*AX29</f>
        <v>-0.137677250319126</v>
      </c>
      <c r="BC29" s="45" t="n">
        <f aca="false">SQRT(AZ29^2+BA29^2+BB29^2)</f>
        <v>0.997338737086912</v>
      </c>
      <c r="BD29" s="20" t="n">
        <f aca="false">AS29*BC29</f>
        <v>376712.338029143</v>
      </c>
      <c r="BE29" s="30" t="str">
        <f aca="false">IF(OR(AND(BD29&gt;BD28,BD29&gt;BD30),AND(BD29&lt;BD28,BD29&lt;BD30)),BD29,"")</f>
        <v/>
      </c>
    </row>
    <row r="30" customFormat="false" ht="15" hidden="false" customHeight="false" outlineLevel="0" collapsed="false">
      <c r="A30" s="31" t="n">
        <v>14</v>
      </c>
      <c r="B30" s="30" t="n">
        <f aca="false">$B$2</f>
        <v>1</v>
      </c>
      <c r="C30" s="30" t="n">
        <f aca="false">C29</f>
        <v>12</v>
      </c>
      <c r="D30" s="30" t="n">
        <f aca="false">$D$2</f>
        <v>2022</v>
      </c>
      <c r="F30" s="38" t="n">
        <f aca="false">AK30</f>
        <v>12.8393751952748</v>
      </c>
      <c r="G30" s="39" t="n">
        <f aca="false">F30+1.02/(TAN($E$6*(F30+10.3/(F30+5.11)))*60)</f>
        <v>12.9106608104844</v>
      </c>
      <c r="H30" s="38" t="n">
        <f aca="false">100*(1+COS($E$6*AO30))/2</f>
        <v>60.8188898877907</v>
      </c>
      <c r="I30" s="38" t="n">
        <f aca="false">IF(AG30&gt;180, AR30-180,AR30+180)</f>
        <v>119.249454147782</v>
      </c>
      <c r="J30" s="31" t="n">
        <f aca="false">INT(365.25*IF(C30&gt;2,D30+4716,D30-1+4716))+INT(30.6001*IF(C30&gt;2,C30+1,C30+12+1))+B30+A30/24+2-INT(IF(C30&gt;2,D30,D30-1)/100)+INT(INT(IF(C30&gt;2,D30,D30-1)/100)/4)-1524.5</f>
        <v>2459915.08333333</v>
      </c>
      <c r="K30" s="47" t="n">
        <f aca="false">(J30-2451545)/36525</f>
        <v>0.229160392425284</v>
      </c>
      <c r="L30" s="31" t="n">
        <f aca="false">MOD(280.46061837+360.98564736629*(J30-2451545)+0.000387933*K30^2-K30^3/38710000+$E$4,360)</f>
        <v>295.411231925711</v>
      </c>
      <c r="M30" s="28" t="n">
        <f aca="false">0.606433+1336.855225*K30 - INT(0.606433+1336.855225*K30)</f>
        <v>0.960700976790974</v>
      </c>
      <c r="N30" s="31" t="n">
        <f aca="false">22640*SIN(O30)-4586*SIN(O30-2*Q30)+2370*SIN(2*Q30)+769*SIN(2*O30)-668*SIN(P30)-412*SIN(2*R30)-212*SIN(2*O30-2*Q30)-206*SIN(O30+P30-2*Q30)+192*SIN(O30+2*Q30)-165*SIN(P30-2*Q30)-125*SIN(Q30)-110*SIN(O30+P30)+148*SIN(O30-P30)-55*SIN(2*R30-2*Q30)</f>
        <v>21202.3449365233</v>
      </c>
      <c r="O30" s="29" t="n">
        <f aca="false">2*PI()*(0.374897+1325.55241*K30 - INT(0.374897+1325.55241*K30))</f>
        <v>0.873409604377235</v>
      </c>
      <c r="P30" s="32" t="n">
        <f aca="false">2*PI()*(0.993133+99.997361*K30 - INT(0.993133+99.997361*K30))</f>
        <v>5.70869789277083</v>
      </c>
      <c r="Q30" s="32" t="n">
        <f aca="false">2*PI()*(0.827361+1236.853086*K30 - INT(0.827361+1236.853086*K30))</f>
        <v>1.66566966148296</v>
      </c>
      <c r="R30" s="32" t="n">
        <f aca="false">2*PI()*(0.259086+1342.227825*K30 - INT(0.259086+1342.227825*K30))</f>
        <v>5.30640823796111</v>
      </c>
      <c r="S30" s="32" t="n">
        <f aca="false">R30+(N30+412*SIN(2*R30)+541*SIN(P30))/206264.8062</f>
        <v>5.40592194811949</v>
      </c>
      <c r="T30" s="32" t="n">
        <f aca="false">R30-2*Q30</f>
        <v>1.97506891499519</v>
      </c>
      <c r="U30" s="24" t="n">
        <f aca="false">-526*SIN(T30)+44*SIN(O30+T30)-31*SIN(-O30+T30)-23*SIN(P30+T30)+11*SIN(-P30+T30)-25*SIN(-2*O30+R30)+21*SIN(-O30+R30)</f>
        <v>-525.102564064413</v>
      </c>
      <c r="V30" s="32" t="n">
        <f aca="false">2*PI()*(M30+N30/1296000-INT(M30+N30/1296000))</f>
        <v>6.13905413093443</v>
      </c>
      <c r="W30" s="31" t="n">
        <f aca="false">V30/$E$6</f>
        <v>351.741891904896</v>
      </c>
      <c r="X30" s="32" t="n">
        <f aca="false">(18520*SIN(S30)+U30)/206264.8062</f>
        <v>-0.0715916640970417</v>
      </c>
      <c r="Y30" s="32" t="n">
        <f aca="false">COS(X30)*COS(V30)</f>
        <v>0.987096042964724</v>
      </c>
      <c r="Z30" s="32" t="n">
        <f aca="false">COS(X30)*SIN(V30)</f>
        <v>-0.143264741208425</v>
      </c>
      <c r="AA30" s="32" t="n">
        <f aca="false">SIN(X30)</f>
        <v>-0.0715305241828005</v>
      </c>
      <c r="AB30" s="32" t="n">
        <f aca="false">COS($E$6*(23.4393-46.815*K30/3600))*Z30-SIN($E$6*(23.4393-46.815*K30/3600))*AA30</f>
        <v>-0.102995979965564</v>
      </c>
      <c r="AC30" s="32" t="n">
        <f aca="false">SIN($E$6*(23.4393-46.815*K30/3600))*Z30+COS($E$6*(23.4393-46.815*K30/3600))*AA30</f>
        <v>-0.122610073298715</v>
      </c>
      <c r="AD30" s="32" t="n">
        <f aca="false">SQRT(1-AC30*AC30)</f>
        <v>0.992454920853176</v>
      </c>
      <c r="AE30" s="31" t="n">
        <f aca="false">ATAN(AC30/AD30)/$E$6</f>
        <v>-7.04276138212587</v>
      </c>
      <c r="AF30" s="32" t="n">
        <f aca="false">IF(24*ATAN(AB30/(Y30+AD30))/PI()&gt;0,24*ATAN(AB30/(Y30+AD30))/PI(),24*ATAN(AB30/(Y30+AD30))/PI()+24)</f>
        <v>23.6028783910175</v>
      </c>
      <c r="AG30" s="31" t="n">
        <f aca="false">IF(L30-15*AF30&gt;0,L30-15*AF30,360+L30-15*AF30)</f>
        <v>301.368056060448</v>
      </c>
      <c r="AH30" s="29" t="n">
        <f aca="false">0.950724+0.051818*COS(O30)+0.009531*COS(2*Q30-O30)+0.007843*COS(2*Q30)+0.002824*COS(2*O30)+0.000857*COS(2*Q30+O30)+0.000533*COS(2*Q30-P30)*(1-0.002495*(J30-2415020)/36525)+0.000401*COS(2*Q30-P30-O30)*(1-0.002495*(J30-2415020)/36525)+0.00032*COS(O30-P30)*(1-0.002495*(J30-2415020)/36525)-0.000271*COS(Q30)</f>
        <v>0.967283773154336</v>
      </c>
      <c r="AI30" s="32" t="n">
        <f aca="false">ASIN(COS($E$6*$E$2)*COS($E$6*AE30)*COS($E$6*AG30)+SIN($E$6*$E$2)*SIN($E$6*AE30))/$E$6</f>
        <v>13.7769824571016</v>
      </c>
      <c r="AJ30" s="29" t="n">
        <f aca="false">ASIN((0.9983271+0.0016764*COS($E$6*2*$E$2))*COS($E$6*AI30)*SIN($E$6*AH30))/$E$6</f>
        <v>0.937607261826776</v>
      </c>
      <c r="AK30" s="29" t="n">
        <f aca="false">AI30-AJ30</f>
        <v>12.8393751952748</v>
      </c>
      <c r="AL30" s="31" t="n">
        <f aca="false"> MOD(280.4664567 + 360007.6982779*K30/10 + 0.03032028*K30^2/100 + K30^3/49931000,360)</f>
        <v>250.417013971452</v>
      </c>
      <c r="AM30" s="29" t="n">
        <f aca="false"> AL30 + (1.9146 - 0.004817*K30 - 0.000014*K30^2)*SIN(P30)+ (0.019993 - 0.000101*K30)*SIN(2*P30)+ 0.00029*SIN(3*P30)</f>
        <v>249.358705825292</v>
      </c>
      <c r="AN30" s="29" t="n">
        <f aca="false">ACOS(COS(V30-$E$6*AM30)*COS(X30))/$E$6</f>
        <v>102.35096412894</v>
      </c>
      <c r="AO30" s="24" t="n">
        <f aca="false">180 - AN30 -0.1468*(1-0.0549*SIN(P30))*SIN($E$6*AN30)/(1-0.0167*SIN($E$6*AM30))</f>
        <v>77.5036277742297</v>
      </c>
      <c r="AP30" s="48" t="n">
        <f aca="false">SIN($E$6*AG30)</f>
        <v>-0.853841141498985</v>
      </c>
      <c r="AQ30" s="48" t="n">
        <f aca="false">COS($E$6*AG30)*SIN($E$6*$E$2) - TAN($E$6*AE30)*COS($E$6*$E$2)</f>
        <v>0.478163329167272</v>
      </c>
      <c r="AR30" s="48" t="n">
        <f aca="false">IF(OR(AND(AP30*AQ30&gt;0), AND(AP30&lt;0,AQ30&gt;0)), MOD(ATAN2(AQ30,AP30)/$E$6+360,360),  ATAN2(AQ30,AP30)/$E$6)</f>
        <v>299.249454147782</v>
      </c>
      <c r="AS30" s="20" t="n">
        <f aca="false"> 385000.56 + (-20905355*COS(O30) - 3699111*COS(2*Q30-O30) - 2955968*COS(2*Q30) - 569925*COS(2*O30) + (1-0.002516*K30)*48888*COS(P30) - 3149*COS(2*R30)  +246158*COS(2*Q30-2*O30) -(1-0.002516*K30)*152138*COS(2*Q30-P30-O30) -170733*COS(2*Q30+O30) -(1-0.002516*K30)*204586*COS(2*Q30-P30) -(1-0.002516*K30)*129620*COS(P30-O30)  + 108743*COS(Q30) +(1-0.002516*K30)*104755*COS(P30+O30) +10321*COS(2*Q30-2*R30) +79661*COS(O30-2*R30) -34782*COS(4*Q30-O30) -23210*COS(3*O30)  -21636*COS(4*Q30-2*O30) +(1-0.002516*K30)*24208*COS(2*Q30+P30-O30) +(1-0.002516*K30)*30824*COS(2*Q30+P30) -8379*COS(Q30-O30) -(1-0.002516*K30)*16675*COS(Q30+P30)  -(1-0.002516*K30)*12831*COS(2*Q30-P30+O30) -10445*COS(2*Q30+2*O30) -11650*COS(4*Q30) +14403*COS(2*Q30-3*O30) -(1-0.002516*K30)*7003*COS(P30-2*O30)  + (1-0.002516*K30)*10056*COS(2*Q30-P30-2*O30) +6322*COS(Q30+O30) -(1-0.002516*K30)*(1-0.002516*K30)*9884*COS(2*Q30-2*P30) +(1-0.002516*K30)*5751*COS(P30+2*O30) -(1-0.002516*K30)*(1-0.002516*K30)*4950*COS(2*Q30-2*P30-O30)  +4130*COS(2*Q30+O30-2*R30) -(1-0.002516*K30)*3958*COS(4*Q30-P30-O30) +3258*COS(3*Q30-O30) +(1-0.002516*K30)*2616*COS(2*Q30+P30+O30) -(1-0.002516*K30)*1897*COS(4*Q30-P30-2*O30)  -(1-0.002516*K30)*(1-0.002516*K30)*2117*COS(2*P30-O30) +(1-0.002516*K30)*(1-0.002516*K30)*2354*COS(2*Q30+2*P30-O30) -1423*COS(4*Q30+O30) -1117*COS(4*O30) -(1-0.002516*K30)*1571*COS(4*Q30-P30)  -1739*COS(Q30-2*O30) -4421*COS(2*O30-2*R30) +(1-0.002516*K30)*(1-0.002516*K30)*1165*COS(2*P30+O30) +8752*COS(2*Q30-O30-2*R30))/1000</f>
        <v>377800.010707064</v>
      </c>
      <c r="AT30" s="24" t="n">
        <f aca="false">60*ATAN(3476/AS30)/$E$6</f>
        <v>31.6285607964953</v>
      </c>
      <c r="AU30" s="28" t="n">
        <f aca="false">ATAN(0.99664719*TAN($E$6*input!$D$2))</f>
        <v>0.871010436227447</v>
      </c>
      <c r="AV30" s="28" t="n">
        <f aca="false">COS(AU30)</f>
        <v>0.644053912545846</v>
      </c>
      <c r="AW30" s="28" t="n">
        <f aca="false">0.99664719*SIN(AU30)</f>
        <v>0.762415269897027</v>
      </c>
      <c r="AX30" s="28" t="n">
        <f aca="false">6378.14/AS30</f>
        <v>0.0168823182086817</v>
      </c>
      <c r="AY30" s="31" t="n">
        <f aca="false">L30-15*AF30</f>
        <v>-58.6319439395518</v>
      </c>
      <c r="AZ30" s="29" t="n">
        <f aca="false">COS($E$6*AE30)*SIN($E$6*AY30)</f>
        <v>-0.847398842507561</v>
      </c>
      <c r="BA30" s="29" t="n">
        <f aca="false">COS($E$6*AE30)*COS($E$6*AY30)-AV30*AX30</f>
        <v>0.50573308248366</v>
      </c>
      <c r="BB30" s="29" t="n">
        <f aca="false">SIN($E$6*AE30)-AW30*AX30</f>
        <v>-0.135481410492274</v>
      </c>
      <c r="BC30" s="45" t="n">
        <f aca="false">SQRT(AZ30^2+BA30^2+BB30^2)</f>
        <v>0.996095357679451</v>
      </c>
      <c r="BD30" s="20" t="n">
        <f aca="false">AS30*BC30</f>
        <v>376324.836796554</v>
      </c>
      <c r="BE30" s="30" t="str">
        <f aca="false">IF(OR(AND(BD30&gt;BD29,BD30&gt;BD31),AND(BD30&lt;BD29,BD30&lt;BD31)),BD30,"")</f>
        <v/>
      </c>
    </row>
    <row r="31" customFormat="false" ht="15" hidden="false" customHeight="false" outlineLevel="0" collapsed="false">
      <c r="A31" s="31" t="n">
        <v>14.5</v>
      </c>
      <c r="B31" s="30" t="n">
        <f aca="false">$B$2</f>
        <v>1</v>
      </c>
      <c r="C31" s="30" t="n">
        <f aca="false">C30</f>
        <v>12</v>
      </c>
      <c r="D31" s="30" t="n">
        <f aca="false">$D$2</f>
        <v>2022</v>
      </c>
      <c r="F31" s="38" t="n">
        <f aca="false">AK31</f>
        <v>16.9089994525492</v>
      </c>
      <c r="G31" s="39" t="n">
        <f aca="false">F31+1.02/(TAN($E$6*(F31+10.3/(F31+5.11)))*60)</f>
        <v>16.9633236693041</v>
      </c>
      <c r="H31" s="38" t="n">
        <f aca="false">100*(1+COS($E$6*AO31))/2</f>
        <v>61.0412803773109</v>
      </c>
      <c r="I31" s="38" t="n">
        <f aca="false">IF(AG31&gt;180, AR31-180,AR31+180)</f>
        <v>125.454084767088</v>
      </c>
      <c r="J31" s="31" t="n">
        <f aca="false">INT(365.25*IF(C31&gt;2,D31+4716,D31-1+4716))+INT(30.6001*IF(C31&gt;2,C31+1,C31+12+1))+B31+A31/24+2-INT(IF(C31&gt;2,D31,D31-1)/100)+INT(INT(IF(C31&gt;2,D31,D31-1)/100)/4)-1524.5</f>
        <v>2459915.10416667</v>
      </c>
      <c r="K31" s="47" t="n">
        <f aca="false">(J31-2451545)/36525</f>
        <v>0.229160962810856</v>
      </c>
      <c r="L31" s="31" t="n">
        <f aca="false">MOD(280.46061837+360.98564736629*(J31-2451545)+0.000387933*K31^2-K31^3/38710000+$E$4,360)</f>
        <v>302.931766133755</v>
      </c>
      <c r="M31" s="28" t="n">
        <f aca="false">0.606433+1336.855225*K31 - INT(0.606433+1336.855225*K31)</f>
        <v>0.961463499723379</v>
      </c>
      <c r="N31" s="31" t="n">
        <f aca="false">22640*SIN(O31)-4586*SIN(O31-2*Q31)+2370*SIN(2*Q31)+769*SIN(2*O31)-668*SIN(P31)-412*SIN(2*R31)-212*SIN(2*O31-2*Q31)-206*SIN(O31+P31-2*Q31)+192*SIN(O31+2*Q31)-165*SIN(P31-2*Q31)-125*SIN(Q31)-110*SIN(O31+P31)+148*SIN(O31-P31)-55*SIN(2*R31-2*Q31)</f>
        <v>21232.439954628</v>
      </c>
      <c r="O31" s="29" t="n">
        <f aca="false">2*PI()*(0.374897+1325.55241*K31 - INT(0.374897+1325.55241*K31))</f>
        <v>0.878160169801639</v>
      </c>
      <c r="P31" s="32" t="n">
        <f aca="false">2*PI()*(0.993133+99.997361*K31 - INT(0.993133+99.997361*K31))</f>
        <v>5.70905626713771</v>
      </c>
      <c r="Q31" s="32" t="n">
        <f aca="false">2*PI()*(0.827361+1236.853086*K31 - INT(0.827361+1236.853086*K31))</f>
        <v>1.67010234287764</v>
      </c>
      <c r="R31" s="32" t="n">
        <f aca="false">2*PI()*(0.259086+1342.227825*K31 - INT(0.259086+1342.227825*K31))</f>
        <v>5.31121856537555</v>
      </c>
      <c r="S31" s="32" t="n">
        <f aca="false">R31+(N31+412*SIN(2*R31)+541*SIN(P31))/206264.8062</f>
        <v>5.41087187829722</v>
      </c>
      <c r="T31" s="32" t="n">
        <f aca="false">R31-2*Q31</f>
        <v>1.97101387962026</v>
      </c>
      <c r="U31" s="24" t="n">
        <f aca="false">-526*SIN(T31)+44*SIN(O31+T31)-31*SIN(-O31+T31)-23*SIN(P31+T31)+11*SIN(-P31+T31)-25*SIN(-2*O31+R31)+21*SIN(-O31+R31)</f>
        <v>-525.895244659323</v>
      </c>
      <c r="V31" s="32" t="n">
        <f aca="false">2*PI()*(M31+N31/1296000-INT(M31+N31/1296000))</f>
        <v>6.14399110858481</v>
      </c>
      <c r="W31" s="31" t="n">
        <f aca="false">V31/$E$6</f>
        <v>352.024759887813</v>
      </c>
      <c r="X31" s="32" t="n">
        <f aca="false">(18520*SIN(S31)+U31)/206264.8062</f>
        <v>-0.0713105494200428</v>
      </c>
      <c r="Y31" s="32" t="n">
        <f aca="false">COS(X31)*COS(V31)</f>
        <v>0.987811180090807</v>
      </c>
      <c r="Z31" s="32" t="n">
        <f aca="false">COS(X31)*SIN(V31)</f>
        <v>-0.138392528414527</v>
      </c>
      <c r="AA31" s="32" t="n">
        <f aca="false">SIN(X31)</f>
        <v>-0.0712501267833403</v>
      </c>
      <c r="AB31" s="32" t="n">
        <f aca="false">COS($E$6*(23.4393-46.815*K31/3600))*Z31-SIN($E$6*(23.4393-46.815*K31/3600))*AA31</f>
        <v>-0.0986372339850771</v>
      </c>
      <c r="AC31" s="32" t="n">
        <f aca="false">SIN($E$6*(23.4393-46.815*K31/3600))*Z31+COS($E$6*(23.4393-46.815*K31/3600))*AA31</f>
        <v>-0.120414984779224</v>
      </c>
      <c r="AD31" s="32" t="n">
        <f aca="false">SQRT(1-AC31*AC31)</f>
        <v>0.992723643034968</v>
      </c>
      <c r="AE31" s="31" t="n">
        <f aca="false">ATAN(AC31/AD31)/$E$6</f>
        <v>-6.91605312640049</v>
      </c>
      <c r="AF31" s="32" t="n">
        <f aca="false">IF(24*ATAN(AB31/(Y31+AD31))/PI()&gt;0,24*ATAN(AB31/(Y31+AD31))/PI(),24*ATAN(AB31/(Y31+AD31))/PI()+24)</f>
        <v>23.6198446681601</v>
      </c>
      <c r="AG31" s="31" t="n">
        <f aca="false">IF(L31-15*AF31&gt;0,L31-15*AF31,360+L31-15*AF31)</f>
        <v>308.634096111353</v>
      </c>
      <c r="AH31" s="29" t="n">
        <f aca="false">0.950724+0.051818*COS(O31)+0.009531*COS(2*Q31-O31)+0.007843*COS(2*Q31)+0.002824*COS(2*O31)+0.000857*COS(2*Q31+O31)+0.000533*COS(2*Q31-P31)*(1-0.002495*(J31-2415020)/36525)+0.000401*COS(2*Q31-P31-O31)*(1-0.002495*(J31-2415020)/36525)+0.00032*COS(O31-P31)*(1-0.002495*(J31-2415020)/36525)-0.000271*COS(Q31)</f>
        <v>0.967070042492128</v>
      </c>
      <c r="AI31" s="32" t="n">
        <f aca="false">ASIN(COS($E$6*$E$2)*COS($E$6*AE31)*COS($E$6*AG31)+SIN($E$6*$E$2)*SIN($E$6*AE31))/$E$6</f>
        <v>17.8278192475847</v>
      </c>
      <c r="AJ31" s="29" t="n">
        <f aca="false">ASIN((0.9983271+0.0016764*COS($E$6*2*$E$2))*COS($E$6*AI31)*SIN($E$6*AH31))/$E$6</f>
        <v>0.918819795035569</v>
      </c>
      <c r="AK31" s="29" t="n">
        <f aca="false">AI31-AJ31</f>
        <v>16.9089994525492</v>
      </c>
      <c r="AL31" s="31" t="n">
        <f aca="false"> MOD(280.4664567 + 360007.6982779*K31/10 + 0.03032028*K31^2/100 + K31^3/49931000,360)</f>
        <v>250.437548291227</v>
      </c>
      <c r="AM31" s="29" t="n">
        <f aca="false"> AL31 + (1.9146 - 0.004817*K31 - 0.000014*K31^2)*SIN(P31)+ (0.019993 - 0.000101*K31)*SIN(2*P31)+ 0.00029*SIN(3*P31)</f>
        <v>249.379821696304</v>
      </c>
      <c r="AN31" s="29" t="n">
        <f aca="false">ACOS(COS(V31-$E$6*AM31)*COS(X31))/$E$6</f>
        <v>102.612270778937</v>
      </c>
      <c r="AO31" s="24" t="n">
        <f aca="false">180 - AN31 -0.1468*(1-0.0549*SIN(P31))*SIN($E$6*AN31)/(1-0.0167*SIN($E$6*AM31))</f>
        <v>77.2424704857244</v>
      </c>
      <c r="AP31" s="48" t="n">
        <f aca="false">SIN($E$6*AG31)</f>
        <v>-0.781149069922118</v>
      </c>
      <c r="AQ31" s="48" t="n">
        <f aca="false">COS($E$6*AG31)*SIN($E$6*$E$2) - TAN($E$6*AE31)*COS($E$6*$E$2)</f>
        <v>0.55624426887888</v>
      </c>
      <c r="AR31" s="48" t="n">
        <f aca="false">IF(OR(AND(AP31*AQ31&gt;0), AND(AP31&lt;0,AQ31&gt;0)), MOD(ATAN2(AQ31,AP31)/$E$6+360,360),  ATAN2(AQ31,AP31)/$E$6)</f>
        <v>305.454084767088</v>
      </c>
      <c r="AS31" s="20" t="n">
        <f aca="false"> 385000.56 + (-20905355*COS(O31) - 3699111*COS(2*Q31-O31) - 2955968*COS(2*Q31) - 569925*COS(2*O31) + (1-0.002516*K31)*48888*COS(P31) - 3149*COS(2*R31)  +246158*COS(2*Q31-2*O31) -(1-0.002516*K31)*152138*COS(2*Q31-P31-O31) -170733*COS(2*Q31+O31) -(1-0.002516*K31)*204586*COS(2*Q31-P31) -(1-0.002516*K31)*129620*COS(P31-O31)  + 108743*COS(Q31) +(1-0.002516*K31)*104755*COS(P31+O31) +10321*COS(2*Q31-2*R31) +79661*COS(O31-2*R31) -34782*COS(4*Q31-O31) -23210*COS(3*O31)  -21636*COS(4*Q31-2*O31) +(1-0.002516*K31)*24208*COS(2*Q31+P31-O31) +(1-0.002516*K31)*30824*COS(2*Q31+P31) -8379*COS(Q31-O31) -(1-0.002516*K31)*16675*COS(Q31+P31)  -(1-0.002516*K31)*12831*COS(2*Q31-P31+O31) -10445*COS(2*Q31+2*O31) -11650*COS(4*Q31) +14403*COS(2*Q31-3*O31) -(1-0.002516*K31)*7003*COS(P31-2*O31)  + (1-0.002516*K31)*10056*COS(2*Q31-P31-2*O31) +6322*COS(Q31+O31) -(1-0.002516*K31)*(1-0.002516*K31)*9884*COS(2*Q31-2*P31) +(1-0.002516*K31)*5751*COS(P31+2*O31) -(1-0.002516*K31)*(1-0.002516*K31)*4950*COS(2*Q31-2*P31-O31)  +4130*COS(2*Q31+O31-2*R31) -(1-0.002516*K31)*3958*COS(4*Q31-P31-O31) +3258*COS(3*Q31-O31) +(1-0.002516*K31)*2616*COS(2*Q31+P31+O31) -(1-0.002516*K31)*1897*COS(4*Q31-P31-2*O31)  -(1-0.002516*K31)*(1-0.002516*K31)*2117*COS(2*P31-O31) +(1-0.002516*K31)*(1-0.002516*K31)*2354*COS(2*Q31+2*P31-O31) -1423*COS(4*Q31+O31) -1117*COS(4*O31) -(1-0.002516*K31)*1571*COS(4*Q31-P31)  -1739*COS(Q31-2*O31) -4421*COS(2*O31-2*R31) +(1-0.002516*K31)*(1-0.002516*K31)*1165*COS(2*P31+O31) +8752*COS(2*Q31-O31-2*R31))/1000</f>
        <v>377882.475997228</v>
      </c>
      <c r="AT31" s="24" t="n">
        <f aca="false">60*ATAN(3476/AS31)/$E$6</f>
        <v>31.6216588852596</v>
      </c>
      <c r="AU31" s="28" t="n">
        <f aca="false">ATAN(0.99664719*TAN($E$6*input!$D$2))</f>
        <v>0.871010436227447</v>
      </c>
      <c r="AV31" s="28" t="n">
        <f aca="false">COS(AU31)</f>
        <v>0.644053912545846</v>
      </c>
      <c r="AW31" s="28" t="n">
        <f aca="false">0.99664719*SIN(AU31)</f>
        <v>0.762415269897027</v>
      </c>
      <c r="AX31" s="28" t="n">
        <f aca="false">6378.14/AS31</f>
        <v>0.0168786339804939</v>
      </c>
      <c r="AY31" s="31" t="n">
        <f aca="false">L31-15*AF31</f>
        <v>-51.3659038886468</v>
      </c>
      <c r="AZ31" s="29" t="n">
        <f aca="false">COS($E$6*AE31)*SIN($E$6*AY31)</f>
        <v>-0.775465150446463</v>
      </c>
      <c r="BA31" s="29" t="n">
        <f aca="false">COS($E$6*AE31)*COS($E$6*AY31)-AV31*AX31</f>
        <v>0.608930856620492</v>
      </c>
      <c r="BB31" s="29" t="n">
        <f aca="false">SIN($E$6*AE31)-AW31*AX31</f>
        <v>-0.133283513060956</v>
      </c>
      <c r="BC31" s="45" t="n">
        <f aca="false">SQRT(AZ31^2+BA31^2+BB31^2)</f>
        <v>0.994940944255181</v>
      </c>
      <c r="BD31" s="20" t="n">
        <f aca="false">AS31*BC31</f>
        <v>375970.747486168</v>
      </c>
      <c r="BE31" s="30" t="str">
        <f aca="false">IF(OR(AND(BD31&gt;BD30,BD31&gt;BD32),AND(BD31&lt;BD30,BD31&lt;BD32)),BD31,"")</f>
        <v/>
      </c>
    </row>
    <row r="32" customFormat="false" ht="15" hidden="false" customHeight="false" outlineLevel="0" collapsed="false">
      <c r="A32" s="31" t="n">
        <v>15</v>
      </c>
      <c r="B32" s="30" t="n">
        <f aca="false">$B$2</f>
        <v>1</v>
      </c>
      <c r="C32" s="30" t="n">
        <f aca="false">C31</f>
        <v>12</v>
      </c>
      <c r="D32" s="30" t="n">
        <f aca="false">$D$2</f>
        <v>2022</v>
      </c>
      <c r="F32" s="38" t="n">
        <f aca="false">AK32</f>
        <v>20.6832195221179</v>
      </c>
      <c r="G32" s="39" t="n">
        <f aca="false">F32+1.02/(TAN($E$6*(F32+10.3/(F32+5.11)))*60)</f>
        <v>20.7273160358039</v>
      </c>
      <c r="H32" s="38" t="n">
        <f aca="false">100*(1+COS($E$6*AO32))/2</f>
        <v>61.2633368850884</v>
      </c>
      <c r="I32" s="38" t="n">
        <f aca="false">IF(AG32&gt;180, AR32-180,AR32+180)</f>
        <v>132.002155280216</v>
      </c>
      <c r="J32" s="31" t="n">
        <f aca="false">INT(365.25*IF(C32&gt;2,D32+4716,D32-1+4716))+INT(30.6001*IF(C32&gt;2,C32+1,C32+12+1))+B32+A32/24+2-INT(IF(C32&gt;2,D32,D32-1)/100)+INT(INT(IF(C32&gt;2,D32,D32-1)/100)/4)-1524.5</f>
        <v>2459915.125</v>
      </c>
      <c r="K32" s="47" t="n">
        <f aca="false">(J32-2451545)/36525</f>
        <v>0.229161533196441</v>
      </c>
      <c r="L32" s="31" t="n">
        <f aca="false">MOD(280.46061837+360.98564736629*(J32-2451545)+0.000387933*K32^2-K32^3/38710000+$E$4,360)</f>
        <v>310.452300509904</v>
      </c>
      <c r="M32" s="28" t="n">
        <f aca="false">0.606433+1336.855225*K32 - INT(0.606433+1336.855225*K32)</f>
        <v>0.96222602267278</v>
      </c>
      <c r="N32" s="31" t="n">
        <f aca="false">22640*SIN(O32)-4586*SIN(O32-2*Q32)+2370*SIN(2*Q32)+769*SIN(2*O32)-668*SIN(P32)-412*SIN(2*R32)-212*SIN(2*O32-2*Q32)-206*SIN(O32+P32-2*Q32)+192*SIN(O32+2*Q32)-165*SIN(P32-2*Q32)-125*SIN(Q32)-110*SIN(O32+P32)+148*SIN(O32-P32)-55*SIN(2*R32-2*Q32)</f>
        <v>21262.0657254385</v>
      </c>
      <c r="O32" s="29" t="n">
        <f aca="false">2*PI()*(0.374897+1325.55241*K32 - INT(0.374897+1325.55241*K32))</f>
        <v>0.882910735332476</v>
      </c>
      <c r="P32" s="32" t="n">
        <f aca="false">2*PI()*(0.993133+99.997361*K32 - INT(0.993133+99.997361*K32))</f>
        <v>5.70941464151261</v>
      </c>
      <c r="Q32" s="32" t="n">
        <f aca="false">2*PI()*(0.827361+1236.853086*K32 - INT(0.827361+1236.853086*K32))</f>
        <v>1.67453502437162</v>
      </c>
      <c r="R32" s="32" t="n">
        <f aca="false">2*PI()*(0.259086+1342.227825*K32 - INT(0.259086+1342.227825*K32))</f>
        <v>5.31602889289786</v>
      </c>
      <c r="S32" s="32" t="n">
        <f aca="false">R32+(N32+412*SIN(2*R32)+541*SIN(P32))/206264.8062</f>
        <v>5.41581970594391</v>
      </c>
      <c r="T32" s="32" t="n">
        <f aca="false">R32-2*Q32</f>
        <v>1.96695884415462</v>
      </c>
      <c r="U32" s="24" t="n">
        <f aca="false">-526*SIN(T32)+44*SIN(O32+T32)-31*SIN(-O32+T32)-23*SIN(P32+T32)+11*SIN(-P32+T32)-25*SIN(-2*O32+R32)+21*SIN(-O32+R32)</f>
        <v>-526.677863051423</v>
      </c>
      <c r="V32" s="32" t="n">
        <f aca="false">2*PI()*(M32+N32/1296000-INT(M32+N32/1296000))</f>
        <v>6.14892581136689</v>
      </c>
      <c r="W32" s="31" t="n">
        <f aca="false">V32/$E$6</f>
        <v>352.307497530378</v>
      </c>
      <c r="X32" s="32" t="n">
        <f aca="false">(18520*SIN(S32)+U32)/206264.8062</f>
        <v>-0.0710278233070548</v>
      </c>
      <c r="Y32" s="32" t="n">
        <f aca="false">COS(X32)*COS(V32)</f>
        <v>0.988501999580081</v>
      </c>
      <c r="Z32" s="32" t="n">
        <f aca="false">COS(X32)*SIN(V32)</f>
        <v>-0.133518999710095</v>
      </c>
      <c r="AA32" s="32" t="n">
        <f aca="false">SIN(X32)</f>
        <v>-0.0709681163805088</v>
      </c>
      <c r="AB32" s="32" t="n">
        <f aca="false">COS($E$6*(23.4393-46.815*K32/3600))*Z32-SIN($E$6*(23.4393-46.815*K32/3600))*AA32</f>
        <v>-0.0942779221917192</v>
      </c>
      <c r="AC32" s="32" t="n">
        <f aca="false">SIN($E$6*(23.4393-46.815*K32/3600))*Z32+COS($E$6*(23.4393-46.815*K32/3600))*AA32</f>
        <v>-0.118217892949392</v>
      </c>
      <c r="AD32" s="32" t="n">
        <f aca="false">SQRT(1-AC32*AC32)</f>
        <v>0.992987678567366</v>
      </c>
      <c r="AE32" s="31" t="n">
        <f aca="false">ATAN(AC32/AD32)/$E$6</f>
        <v>-6.78926325889849</v>
      </c>
      <c r="AF32" s="32" t="n">
        <f aca="false">IF(24*ATAN(AB32/(Y32+AD32))/PI()&gt;0,24*ATAN(AB32/(Y32+AD32))/PI(),24*ATAN(AB32/(Y32+AD32))/PI()+24)</f>
        <v>23.6367947137634</v>
      </c>
      <c r="AG32" s="31" t="n">
        <f aca="false">IF(L32-15*AF32&gt;0,L32-15*AF32,360+L32-15*AF32)</f>
        <v>315.900379803453</v>
      </c>
      <c r="AH32" s="29" t="n">
        <f aca="false">0.950724+0.051818*COS(O32)+0.009531*COS(2*Q32-O32)+0.007843*COS(2*Q32)+0.002824*COS(2*O32)+0.000857*COS(2*Q32+O32)+0.000533*COS(2*Q32-P32)*(1-0.002495*(J32-2415020)/36525)+0.000401*COS(2*Q32-P32-O32)*(1-0.002495*(J32-2415020)/36525)+0.00032*COS(O32-P32)*(1-0.002495*(J32-2415020)/36525)-0.000271*COS(Q32)</f>
        <v>0.966856449140759</v>
      </c>
      <c r="AI32" s="32" t="n">
        <f aca="false">ASIN(COS($E$6*$E$2)*COS($E$6*AE32)*COS($E$6*AG32)+SIN($E$6*$E$2)*SIN($E$6*AE32))/$E$6</f>
        <v>21.5805291103647</v>
      </c>
      <c r="AJ32" s="29" t="n">
        <f aca="false">ASIN((0.9983271+0.0016764*COS($E$6*2*$E$2))*COS($E$6*AI32)*SIN($E$6*AH32))/$E$6</f>
        <v>0.897309588246769</v>
      </c>
      <c r="AK32" s="29" t="n">
        <f aca="false">AI32-AJ32</f>
        <v>20.6832195221179</v>
      </c>
      <c r="AL32" s="31" t="n">
        <f aca="false"> MOD(280.4664567 + 360007.6982779*K32/10 + 0.03032028*K32^2/100 + K32^3/49931000,360)</f>
        <v>250.458082611462</v>
      </c>
      <c r="AM32" s="29" t="n">
        <f aca="false"> AL32 + (1.9146 - 0.004817*K32 - 0.000014*K32^2)*SIN(P32)+ (0.019993 - 0.000101*K32)*SIN(2*P32)+ 0.00029*SIN(3*P32)</f>
        <v>249.400937710945</v>
      </c>
      <c r="AN32" s="29" t="n">
        <f aca="false">ACOS(COS(V32-$E$6*AM32)*COS(X32))/$E$6</f>
        <v>102.873457362432</v>
      </c>
      <c r="AO32" s="24" t="n">
        <f aca="false">180 - AN32 -0.1468*(1-0.0549*SIN(P32))*SIN($E$6*AN32)/(1-0.0167*SIN($E$6*AM32))</f>
        <v>76.9814362103867</v>
      </c>
      <c r="AP32" s="48" t="n">
        <f aca="false">SIN($E$6*AG32)</f>
        <v>-0.695908036246512</v>
      </c>
      <c r="AQ32" s="48" t="n">
        <f aca="false">COS($E$6*AG32)*SIN($E$6*$E$2) - TAN($E$6*AE32)*COS($E$6*$E$2)</f>
        <v>0.626645812742092</v>
      </c>
      <c r="AR32" s="48" t="n">
        <f aca="false">IF(OR(AND(AP32*AQ32&gt;0), AND(AP32&lt;0,AQ32&gt;0)), MOD(ATAN2(AQ32,AP32)/$E$6+360,360),  ATAN2(AQ32,AP32)/$E$6)</f>
        <v>312.002155280216</v>
      </c>
      <c r="AS32" s="20" t="n">
        <f aca="false"> 385000.56 + (-20905355*COS(O32) - 3699111*COS(2*Q32-O32) - 2955968*COS(2*Q32) - 569925*COS(2*O32) + (1-0.002516*K32)*48888*COS(P32) - 3149*COS(2*R32)  +246158*COS(2*Q32-2*O32) -(1-0.002516*K32)*152138*COS(2*Q32-P32-O32) -170733*COS(2*Q32+O32) -(1-0.002516*K32)*204586*COS(2*Q32-P32) -(1-0.002516*K32)*129620*COS(P32-O32)  + 108743*COS(Q32) +(1-0.002516*K32)*104755*COS(P32+O32) +10321*COS(2*Q32-2*R32) +79661*COS(O32-2*R32) -34782*COS(4*Q32-O32) -23210*COS(3*O32)  -21636*COS(4*Q32-2*O32) +(1-0.002516*K32)*24208*COS(2*Q32+P32-O32) +(1-0.002516*K32)*30824*COS(2*Q32+P32) -8379*COS(Q32-O32) -(1-0.002516*K32)*16675*COS(Q32+P32)  -(1-0.002516*K32)*12831*COS(2*Q32-P32+O32) -10445*COS(2*Q32+2*O32) -11650*COS(4*Q32) +14403*COS(2*Q32-3*O32) -(1-0.002516*K32)*7003*COS(P32-2*O32)  + (1-0.002516*K32)*10056*COS(2*Q32-P32-2*O32) +6322*COS(Q32+O32) -(1-0.002516*K32)*(1-0.002516*K32)*9884*COS(2*Q32-2*P32) +(1-0.002516*K32)*5751*COS(P32+2*O32) -(1-0.002516*K32)*(1-0.002516*K32)*4950*COS(2*Q32-2*P32-O32)  +4130*COS(2*Q32+O32-2*R32) -(1-0.002516*K32)*3958*COS(4*Q32-P32-O32) +3258*COS(3*Q32-O32) +(1-0.002516*K32)*2616*COS(2*Q32+P32+O32) -(1-0.002516*K32)*1897*COS(4*Q32-P32-2*O32)  -(1-0.002516*K32)*(1-0.002516*K32)*2117*COS(2*P32-O32) +(1-0.002516*K32)*(1-0.002516*K32)*2354*COS(2*Q32+2*P32-O32) -1423*COS(4*Q32+O32) -1117*COS(4*O32) -(1-0.002516*K32)*1571*COS(4*Q32-P32)  -1739*COS(Q32-2*O32) -4421*COS(2*O32-2*R32) +(1-0.002516*K32)*(1-0.002516*K32)*1165*COS(2*P32+O32) +8752*COS(2*Q32-O32-2*R32))/1000</f>
        <v>377964.9381677</v>
      </c>
      <c r="AT32" s="24" t="n">
        <f aca="false">60*ATAN(3476/AS32)/$E$6</f>
        <v>31.6147602464509</v>
      </c>
      <c r="AU32" s="28" t="n">
        <f aca="false">ATAN(0.99664719*TAN($E$6*input!$D$2))</f>
        <v>0.871010436227447</v>
      </c>
      <c r="AV32" s="28" t="n">
        <f aca="false">COS(AU32)</f>
        <v>0.644053912545846</v>
      </c>
      <c r="AW32" s="28" t="n">
        <f aca="false">0.99664719*SIN(AU32)</f>
        <v>0.762415269897027</v>
      </c>
      <c r="AX32" s="28" t="n">
        <f aca="false">6378.14/AS32</f>
        <v>0.016874951499258</v>
      </c>
      <c r="AY32" s="31" t="n">
        <f aca="false">L32-15*AF32</f>
        <v>-44.0996201965472</v>
      </c>
      <c r="AZ32" s="29" t="n">
        <f aca="false">COS($E$6*AE32)*SIN($E$6*AY32)</f>
        <v>-0.691028105408798</v>
      </c>
      <c r="BA32" s="29" t="n">
        <f aca="false">COS($E$6*AE32)*COS($E$6*AY32)-AV32*AX32</f>
        <v>0.702226767514047</v>
      </c>
      <c r="BB32" s="29" t="n">
        <f aca="false">SIN($E$6*AE32)-AW32*AX32</f>
        <v>-0.131083613651198</v>
      </c>
      <c r="BC32" s="45" t="n">
        <f aca="false">SQRT(AZ32^2+BA32^2+BB32^2)</f>
        <v>0.993893952716263</v>
      </c>
      <c r="BD32" s="20" t="n">
        <f aca="false">AS32*BC32</f>
        <v>375657.066383653</v>
      </c>
      <c r="BE32" s="49" t="str">
        <f aca="false">IF(OR(AND(BD32&gt;BD31,BD32&gt;BD33),AND(BD32&lt;BD31,BD32&lt;BD33)),BD32,"")</f>
        <v/>
      </c>
    </row>
    <row r="33" customFormat="false" ht="15" hidden="false" customHeight="false" outlineLevel="0" collapsed="false">
      <c r="A33" s="31" t="n">
        <v>15.5</v>
      </c>
      <c r="B33" s="30" t="n">
        <f aca="false">$B$2</f>
        <v>1</v>
      </c>
      <c r="C33" s="30" t="n">
        <f aca="false">C32</f>
        <v>12</v>
      </c>
      <c r="D33" s="30" t="n">
        <f aca="false">$D$2</f>
        <v>2022</v>
      </c>
      <c r="F33" s="38" t="n">
        <f aca="false">AK33</f>
        <v>24.0944318495408</v>
      </c>
      <c r="G33" s="39" t="n">
        <f aca="false">F33+1.02/(TAN($E$6*(F33+10.3/(F33+5.11)))*60)</f>
        <v>24.1318263690166</v>
      </c>
      <c r="H33" s="38" t="n">
        <f aca="false">100*(1+COS($E$6*AO33))/2</f>
        <v>61.4850552777695</v>
      </c>
      <c r="I33" s="38" t="n">
        <f aca="false">IF(AG33&gt;180, AR33-180,AR33+180)</f>
        <v>138.941656709553</v>
      </c>
      <c r="J33" s="31" t="n">
        <f aca="false">INT(365.25*IF(C33&gt;2,D33+4716,D33-1+4716))+INT(30.6001*IF(C33&gt;2,C33+1,C33+12+1))+B33+A33/24+2-INT(IF(C33&gt;2,D33,D33-1)/100)+INT(INT(IF(C33&gt;2,D33,D33-1)/100)/4)-1524.5</f>
        <v>2459915.14583333</v>
      </c>
      <c r="K33" s="47" t="n">
        <f aca="false">(J33-2451545)/36525</f>
        <v>0.229162103582026</v>
      </c>
      <c r="L33" s="31" t="n">
        <f aca="false">MOD(280.46061837+360.98564736629*(J33-2451545)+0.000387933*K33^2-K33^3/38710000+$E$4,360)</f>
        <v>317.972834886052</v>
      </c>
      <c r="M33" s="28" t="n">
        <f aca="false">0.606433+1336.855225*K33 - INT(0.606433+1336.855225*K33)</f>
        <v>0.962988545622238</v>
      </c>
      <c r="N33" s="31" t="n">
        <f aca="false">22640*SIN(O33)-4586*SIN(O33-2*Q33)+2370*SIN(2*Q33)+769*SIN(2*O33)-668*SIN(P33)-412*SIN(2*R33)-212*SIN(2*O33-2*Q33)-206*SIN(O33+P33-2*Q33)+192*SIN(O33+2*Q33)-165*SIN(P33-2*Q33)-125*SIN(Q33)-110*SIN(O33+P33)+148*SIN(O33-P33)-55*SIN(2*R33-2*Q33)</f>
        <v>21291.222883418</v>
      </c>
      <c r="O33" s="29" t="n">
        <f aca="false">2*PI()*(0.374897+1325.55241*K33 - INT(0.374897+1325.55241*K33))</f>
        <v>0.887661300863313</v>
      </c>
      <c r="P33" s="32" t="n">
        <f aca="false">2*PI()*(0.993133+99.997361*K33 - INT(0.993133+99.997361*K33))</f>
        <v>5.7097730158875</v>
      </c>
      <c r="Q33" s="32" t="n">
        <f aca="false">2*PI()*(0.827361+1236.853086*K33 - INT(0.827361+1236.853086*K33))</f>
        <v>1.67896770586524</v>
      </c>
      <c r="R33" s="32" t="n">
        <f aca="false">2*PI()*(0.259086+1342.227825*K33 - INT(0.259086+1342.227825*K33))</f>
        <v>5.32083922041981</v>
      </c>
      <c r="S33" s="32" t="n">
        <f aca="false">R33+(N33+412*SIN(2*R33)+541*SIN(P33))/206264.8062</f>
        <v>5.42076543466775</v>
      </c>
      <c r="T33" s="32" t="n">
        <f aca="false">R33-2*Q33</f>
        <v>1.96290380868933</v>
      </c>
      <c r="U33" s="24" t="n">
        <f aca="false">-526*SIN(T33)+44*SIN(O33+T33)-31*SIN(-O33+T33)-23*SIN(P33+T33)+11*SIN(-P33+T33)-25*SIN(-2*O33+R33)+21*SIN(-O33+R33)</f>
        <v>-527.450414045928</v>
      </c>
      <c r="V33" s="32" t="n">
        <f aca="false">2*PI()*(M33+N33/1296000-INT(M33+N33/1296000))</f>
        <v>6.15385824225022</v>
      </c>
      <c r="W33" s="31" t="n">
        <f aca="false">V33/$E$6</f>
        <v>352.590105002733</v>
      </c>
      <c r="X33" s="32" t="n">
        <f aca="false">(18520*SIN(S33)+U33)/206264.8062</f>
        <v>-0.0707434946778774</v>
      </c>
      <c r="Y33" s="32" t="n">
        <f aca="false">COS(X33)*COS(V33)</f>
        <v>0.989168515374835</v>
      </c>
      <c r="Z33" s="32" t="n">
        <f aca="false">COS(X33)*SIN(V33)</f>
        <v>-0.128644274636824</v>
      </c>
      <c r="AA33" s="32" t="n">
        <f aca="false">SIN(X33)</f>
        <v>-0.070684501797147</v>
      </c>
      <c r="AB33" s="32" t="n">
        <f aca="false">COS($E$6*(23.4393-46.815*K33/3600))*Z33-SIN($E$6*(23.4393-46.815*K33/3600))*AA33</f>
        <v>-0.0899181507562107</v>
      </c>
      <c r="AC33" s="32" t="n">
        <f aca="false">SIN($E$6*(23.4393-46.815*K33/3600))*Z33+COS($E$6*(23.4393-46.815*K33/3600))*AA33</f>
        <v>-0.116018853449466</v>
      </c>
      <c r="AD33" s="32" t="n">
        <f aca="false">SQRT(1-AC33*AC33)</f>
        <v>0.993247011394583</v>
      </c>
      <c r="AE33" s="31" t="n">
        <f aca="false">ATAN(AC33/AD33)/$E$6</f>
        <v>-6.66239443369368</v>
      </c>
      <c r="AF33" s="32" t="n">
        <f aca="false">IF(24*ATAN(AB33/(Y33+AD33))/PI()&gt;0,24*ATAN(AB33/(Y33+AD33))/PI(),24*ATAN(AB33/(Y33+AD33))/PI()+24)</f>
        <v>23.6537287136027</v>
      </c>
      <c r="AG33" s="31" t="n">
        <f aca="false">IF(L33-15*AF33&gt;0,L33-15*AF33,360+L33-15*AF33)</f>
        <v>323.166904182011</v>
      </c>
      <c r="AH33" s="29" t="n">
        <f aca="false">0.950724+0.051818*COS(O33)+0.009531*COS(2*Q33-O33)+0.007843*COS(2*Q33)+0.002824*COS(2*O33)+0.000857*COS(2*Q33+O33)+0.000533*COS(2*Q33-P33)*(1-0.002495*(J33-2415020)/36525)+0.000401*COS(2*Q33-P33-O33)*(1-0.002495*(J33-2415020)/36525)+0.00032*COS(O33-P33)*(1-0.002495*(J33-2415020)/36525)-0.000271*COS(Q33)</f>
        <v>0.966642996945929</v>
      </c>
      <c r="AI33" s="32" t="n">
        <f aca="false">ASIN(COS($E$6*$E$2)*COS($E$6*AE33)*COS($E$6*AG33)+SIN($E$6*$E$2)*SIN($E$6*AE33))/$E$6</f>
        <v>24.9690002479881</v>
      </c>
      <c r="AJ33" s="29" t="n">
        <f aca="false">ASIN((0.9983271+0.0016764*COS($E$6*2*$E$2))*COS($E$6*AI33)*SIN($E$6*AH33))/$E$6</f>
        <v>0.874568398447313</v>
      </c>
      <c r="AK33" s="29" t="n">
        <f aca="false">AI33-AJ33</f>
        <v>24.0944318495408</v>
      </c>
      <c r="AL33" s="31" t="n">
        <f aca="false"> MOD(280.4664567 + 360007.6982779*K33/10 + 0.03032028*K33^2/100 + K33^3/49931000,360)</f>
        <v>250.478616931696</v>
      </c>
      <c r="AM33" s="29" t="n">
        <f aca="false"> AL33 + (1.9146 - 0.004817*K33 - 0.000014*K33^2)*SIN(P33)+ (0.019993 - 0.000101*K33)*SIN(2*P33)+ 0.00029*SIN(3*P33)</f>
        <v>249.422053868665</v>
      </c>
      <c r="AN33" s="29" t="n">
        <f aca="false">ACOS(COS(V33-$E$6*AM33)*COS(X33))/$E$6</f>
        <v>103.134524046883</v>
      </c>
      <c r="AO33" s="24" t="n">
        <f aca="false">180 - AN33 -0.1468*(1-0.0549*SIN(P33))*SIN($E$6*AN33)/(1-0.0167*SIN($E$6*AM33))</f>
        <v>76.7205247734273</v>
      </c>
      <c r="AP33" s="48" t="n">
        <f aca="false">SIN($E$6*AG33)</f>
        <v>-0.599486025812051</v>
      </c>
      <c r="AQ33" s="48" t="n">
        <f aca="false">COS($E$6*AG33)*SIN($E$6*$E$2) - TAN($E$6*AE33)*COS($E$6*$E$2)</f>
        <v>0.688213165111696</v>
      </c>
      <c r="AR33" s="48" t="n">
        <f aca="false">IF(OR(AND(AP33*AQ33&gt;0), AND(AP33&lt;0,AQ33&gt;0)), MOD(ATAN2(AQ33,AP33)/$E$6+360,360),  ATAN2(AQ33,AP33)/$E$6)</f>
        <v>318.941656709553</v>
      </c>
      <c r="AS33" s="20" t="n">
        <f aca="false"> 385000.56 + (-20905355*COS(O33) - 3699111*COS(2*Q33-O33) - 2955968*COS(2*Q33) - 569925*COS(2*O33) + (1-0.002516*K33)*48888*COS(P33) - 3149*COS(2*R33)  +246158*COS(2*Q33-2*O33) -(1-0.002516*K33)*152138*COS(2*Q33-P33-O33) -170733*COS(2*Q33+O33) -(1-0.002516*K33)*204586*COS(2*Q33-P33) -(1-0.002516*K33)*129620*COS(P33-O33)  + 108743*COS(Q33) +(1-0.002516*K33)*104755*COS(P33+O33) +10321*COS(2*Q33-2*R33) +79661*COS(O33-2*R33) -34782*COS(4*Q33-O33) -23210*COS(3*O33)  -21636*COS(4*Q33-2*O33) +(1-0.002516*K33)*24208*COS(2*Q33+P33-O33) +(1-0.002516*K33)*30824*COS(2*Q33+P33) -8379*COS(Q33-O33) -(1-0.002516*K33)*16675*COS(Q33+P33)  -(1-0.002516*K33)*12831*COS(2*Q33-P33+O33) -10445*COS(2*Q33+2*O33) -11650*COS(4*Q33) +14403*COS(2*Q33-3*O33) -(1-0.002516*K33)*7003*COS(P33-2*O33)  + (1-0.002516*K33)*10056*COS(2*Q33-P33-2*O33) +6322*COS(Q33+O33) -(1-0.002516*K33)*(1-0.002516*K33)*9884*COS(2*Q33-2*P33) +(1-0.002516*K33)*5751*COS(P33+2*O33) -(1-0.002516*K33)*(1-0.002516*K33)*4950*COS(2*Q33-2*P33-O33)  +4130*COS(2*Q33+O33-2*R33) -(1-0.002516*K33)*3958*COS(4*Q33-P33-O33) +3258*COS(3*Q33-O33) +(1-0.002516*K33)*2616*COS(2*Q33+P33+O33) -(1-0.002516*K33)*1897*COS(4*Q33-P33-2*O33)  -(1-0.002516*K33)*(1-0.002516*K33)*2117*COS(2*P33-O33) +(1-0.002516*K33)*(1-0.002516*K33)*2354*COS(2*Q33+2*P33-O33) -1423*COS(4*Q33+O33) -1117*COS(4*O33) -(1-0.002516*K33)*1571*COS(4*Q33-P33)  -1739*COS(Q33-2*O33) -4421*COS(2*O33-2*R33) +(1-0.002516*K33)*(1-0.002516*K33)*1165*COS(2*P33+O33) +8752*COS(2*Q33-O33-2*R33))/1000</f>
        <v>378047.395804642</v>
      </c>
      <c r="AT33" s="24" t="n">
        <f aca="false">60*ATAN(3476/AS33)/$E$6</f>
        <v>31.607864995959</v>
      </c>
      <c r="AU33" s="28" t="n">
        <f aca="false">ATAN(0.99664719*TAN($E$6*input!$D$2))</f>
        <v>0.871010436227447</v>
      </c>
      <c r="AV33" s="28" t="n">
        <f aca="false">COS(AU33)</f>
        <v>0.644053912545846</v>
      </c>
      <c r="AW33" s="28" t="n">
        <f aca="false">0.99664719*SIN(AU33)</f>
        <v>0.762415269897027</v>
      </c>
      <c r="AX33" s="28" t="n">
        <f aca="false">6378.14/AS33</f>
        <v>0.0168712708268355</v>
      </c>
      <c r="AY33" s="31" t="n">
        <f aca="false">L33-15*AF33</f>
        <v>-36.8330958179886</v>
      </c>
      <c r="AZ33" s="29" t="n">
        <f aca="false">COS($E$6*AE33)*SIN($E$6*AY33)</f>
        <v>-0.595437703510635</v>
      </c>
      <c r="BA33" s="29" t="n">
        <f aca="false">COS($E$6*AE33)*COS($E$6*AY33)-AV33*AX33</f>
        <v>0.784114222512104</v>
      </c>
      <c r="BB33" s="29" t="n">
        <f aca="false">SIN($E$6*AE33)-AW33*AX33</f>
        <v>-0.128881767950414</v>
      </c>
      <c r="BC33" s="45" t="n">
        <f aca="false">SQRT(AZ33^2+BA33^2+BB33^2)</f>
        <v>0.992971138965179</v>
      </c>
      <c r="BD33" s="20" t="n">
        <f aca="false">AS33*BC33</f>
        <v>375390.153194955</v>
      </c>
      <c r="BE33" s="30" t="str">
        <f aca="false">IF(OR(AND(BD33&gt;BD32,BD33&gt;BD34),AND(BD33&lt;BD32,BD33&lt;BD34)),BD33,"")</f>
        <v/>
      </c>
    </row>
    <row r="34" customFormat="false" ht="15" hidden="false" customHeight="false" outlineLevel="0" collapsed="false">
      <c r="A34" s="31" t="n">
        <v>16</v>
      </c>
      <c r="B34" s="30" t="n">
        <f aca="false">$B$2</f>
        <v>1</v>
      </c>
      <c r="C34" s="30" t="n">
        <f aca="false">C33</f>
        <v>12</v>
      </c>
      <c r="D34" s="30" t="n">
        <f aca="false">$D$2</f>
        <v>2022</v>
      </c>
      <c r="F34" s="38" t="n">
        <f aca="false">AK34</f>
        <v>27.0694464710933</v>
      </c>
      <c r="G34" s="39" t="n">
        <f aca="false">F34+1.02/(TAN($E$6*(F34+10.3/(F34+5.11)))*60)</f>
        <v>27.1022574740589</v>
      </c>
      <c r="H34" s="38" t="n">
        <f aca="false">100*(1+COS($E$6*AO34))/2</f>
        <v>61.7064314402771</v>
      </c>
      <c r="I34" s="38" t="n">
        <f aca="false">IF(AG34&gt;180, AR34-180,AR34+180)</f>
        <v>146.302318909582</v>
      </c>
      <c r="J34" s="31" t="n">
        <f aca="false">INT(365.25*IF(C34&gt;2,D34+4716,D34-1+4716))+INT(30.6001*IF(C34&gt;2,C34+1,C34+12+1))+B34+A34/24+2-INT(IF(C34&gt;2,D34,D34-1)/100)+INT(INT(IF(C34&gt;2,D34,D34-1)/100)/4)-1524.5</f>
        <v>2459915.16666667</v>
      </c>
      <c r="K34" s="47" t="n">
        <f aca="false">(J34-2451545)/36525</f>
        <v>0.229162673967598</v>
      </c>
      <c r="L34" s="31" t="n">
        <f aca="false">MOD(280.46061837+360.98564736629*(J34-2451545)+0.000387933*K34^2-K34^3/38710000+$E$4,360)</f>
        <v>325.493369094562</v>
      </c>
      <c r="M34" s="28" t="n">
        <f aca="false">0.606433+1336.855225*K34 - INT(0.606433+1336.855225*K34)</f>
        <v>0.963751068554643</v>
      </c>
      <c r="N34" s="31" t="n">
        <f aca="false">22640*SIN(O34)-4586*SIN(O34-2*Q34)+2370*SIN(2*Q34)+769*SIN(2*O34)-668*SIN(P34)-412*SIN(2*R34)-212*SIN(2*O34-2*Q34)-206*SIN(O34+P34-2*Q34)+192*SIN(O34+2*Q34)-165*SIN(P34-2*Q34)-125*SIN(Q34)-110*SIN(O34+P34)+148*SIN(O34-P34)-55*SIN(2*R34-2*Q34)</f>
        <v>21319.912072743</v>
      </c>
      <c r="O34" s="29" t="n">
        <f aca="false">2*PI()*(0.374897+1325.55241*K34 - INT(0.374897+1325.55241*K34))</f>
        <v>0.892411866287717</v>
      </c>
      <c r="P34" s="32" t="n">
        <f aca="false">2*PI()*(0.993133+99.997361*K34 - INT(0.993133+99.997361*K34))</f>
        <v>5.71013139025439</v>
      </c>
      <c r="Q34" s="32" t="n">
        <f aca="false">2*PI()*(0.827361+1236.853086*K34 - INT(0.827361+1236.853086*K34))</f>
        <v>1.68340038726028</v>
      </c>
      <c r="R34" s="32" t="n">
        <f aca="false">2*PI()*(0.259086+1342.227825*K34 - INT(0.259086+1342.227825*K34))</f>
        <v>5.32564954783461</v>
      </c>
      <c r="S34" s="32" t="n">
        <f aca="false">R34+(N34+412*SIN(2*R34)+541*SIN(P34))/206264.8062</f>
        <v>5.42570906810942</v>
      </c>
      <c r="T34" s="32" t="n">
        <f aca="false">R34-2*Q34</f>
        <v>1.95884877331404</v>
      </c>
      <c r="U34" s="24" t="n">
        <f aca="false">-526*SIN(T34)+44*SIN(O34+T34)-31*SIN(-O34+T34)-23*SIN(P34+T34)+11*SIN(-P34+T34)-25*SIN(-2*O34+R34)+21*SIN(-O34+R34)</f>
        <v>-528.212892742113</v>
      </c>
      <c r="V34" s="32" t="n">
        <f aca="false">2*PI()*(M34+N34/1296000-INT(M34+N34/1296000))</f>
        <v>6.15878840425034</v>
      </c>
      <c r="W34" s="31" t="n">
        <f aca="false">V34/$E$6</f>
        <v>352.872582477656</v>
      </c>
      <c r="X34" s="32" t="n">
        <f aca="false">(18520*SIN(S34)+U34)/206264.8062</f>
        <v>-0.0704575724691371</v>
      </c>
      <c r="Y34" s="32" t="n">
        <f aca="false">COS(X34)*COS(V34)</f>
        <v>0.989810741972142</v>
      </c>
      <c r="Z34" s="32" t="n">
        <f aca="false">COS(X34)*SIN(V34)</f>
        <v>-0.123768472480763</v>
      </c>
      <c r="AA34" s="32" t="n">
        <f aca="false">SIN(X34)</f>
        <v>-0.0703992918738243</v>
      </c>
      <c r="AB34" s="32" t="n">
        <f aca="false">COS($E$6*(23.4393-46.815*K34/3600))*Z34-SIN($E$6*(23.4393-46.815*K34/3600))*AA34</f>
        <v>-0.0855580256076675</v>
      </c>
      <c r="AC34" s="32" t="n">
        <f aca="false">SIN($E$6*(23.4393-46.815*K34/3600))*Z34+COS($E$6*(23.4393-46.815*K34/3600))*AA34</f>
        <v>-0.113817921834284</v>
      </c>
      <c r="AD34" s="32" t="n">
        <f aca="false">SQRT(1-AC34*AC34)</f>
        <v>0.993501625901702</v>
      </c>
      <c r="AE34" s="31" t="n">
        <f aca="false">ATAN(AC34/AD34)/$E$6</f>
        <v>-6.53544929469296</v>
      </c>
      <c r="AF34" s="32" t="n">
        <f aca="false">IF(24*ATAN(AB34/(Y34+AD34))/PI()&gt;0,24*ATAN(AB34/(Y34+AD34))/PI(),24*ATAN(AB34/(Y34+AD34))/PI()+24)</f>
        <v>23.6706468534676</v>
      </c>
      <c r="AG34" s="31" t="n">
        <f aca="false">IF(L34-15*AF34&gt;0,L34-15*AF34,360+L34-15*AF34)</f>
        <v>330.433666292548</v>
      </c>
      <c r="AH34" s="29" t="n">
        <f aca="false">0.950724+0.051818*COS(O34)+0.009531*COS(2*Q34-O34)+0.007843*COS(2*Q34)+0.002824*COS(2*O34)+0.000857*COS(2*Q34+O34)+0.000533*COS(2*Q34-P34)*(1-0.002495*(J34-2415020)/36525)+0.000401*COS(2*Q34-P34-O34)*(1-0.002495*(J34-2415020)/36525)+0.00032*COS(O34-P34)*(1-0.002495*(J34-2415020)/36525)-0.000271*COS(Q34)</f>
        <v>0.966429689700429</v>
      </c>
      <c r="AI34" s="32" t="n">
        <f aca="false">ASIN(COS($E$6*$E$2)*COS($E$6*AE34)*COS($E$6*AG34)+SIN($E$6*$E$2)*SIN($E$6*AE34))/$E$6</f>
        <v>27.9216864876261</v>
      </c>
      <c r="AJ34" s="29" t="n">
        <f aca="false">ASIN((0.9983271+0.0016764*COS($E$6*2*$E$2))*COS($E$6*AI34)*SIN($E$6*AH34))/$E$6</f>
        <v>0.852240016532838</v>
      </c>
      <c r="AK34" s="29" t="n">
        <f aca="false">AI34-AJ34</f>
        <v>27.0694464710933</v>
      </c>
      <c r="AL34" s="31" t="n">
        <f aca="false"> MOD(280.4664567 + 360007.6982779*K34/10 + 0.03032028*K34^2/100 + K34^3/49931000,360)</f>
        <v>250.499151251472</v>
      </c>
      <c r="AM34" s="29" t="n">
        <f aca="false"> AL34 + (1.9146 - 0.004817*K34 - 0.000014*K34^2)*SIN(P34)+ (0.019993 - 0.000101*K34)*SIN(2*P34)+ 0.00029*SIN(3*P34)</f>
        <v>249.443170168916</v>
      </c>
      <c r="AN34" s="29" t="n">
        <f aca="false">ACOS(COS(V34-$E$6*AM34)*COS(X34))/$E$6</f>
        <v>103.395471001125</v>
      </c>
      <c r="AO34" s="24" t="n">
        <f aca="false">180 - AN34 -0.1468*(1-0.0549*SIN(P34))*SIN($E$6*AN34)/(1-0.0167*SIN($E$6*AM34))</f>
        <v>76.4597359986315</v>
      </c>
      <c r="AP34" s="48" t="n">
        <f aca="false">SIN($E$6*AG34)</f>
        <v>-0.49343087686067</v>
      </c>
      <c r="AQ34" s="48" t="n">
        <f aca="false">COS($E$6*AG34)*SIN($E$6*$E$2) - TAN($E$6*AE34)*COS($E$6*$E$2)</f>
        <v>0.739933261863564</v>
      </c>
      <c r="AR34" s="48" t="n">
        <f aca="false">IF(OR(AND(AP34*AQ34&gt;0), AND(AP34&lt;0,AQ34&gt;0)), MOD(ATAN2(AQ34,AP34)/$E$6+360,360),  ATAN2(AQ34,AP34)/$E$6)</f>
        <v>326.302318909582</v>
      </c>
      <c r="AS34" s="20" t="n">
        <f aca="false"> 385000.56 + (-20905355*COS(O34) - 3699111*COS(2*Q34-O34) - 2955968*COS(2*Q34) - 569925*COS(2*O34) + (1-0.002516*K34)*48888*COS(P34) - 3149*COS(2*R34)  +246158*COS(2*Q34-2*O34) -(1-0.002516*K34)*152138*COS(2*Q34-P34-O34) -170733*COS(2*Q34+O34) -(1-0.002516*K34)*204586*COS(2*Q34-P34) -(1-0.002516*K34)*129620*COS(P34-O34)  + 108743*COS(Q34) +(1-0.002516*K34)*104755*COS(P34+O34) +10321*COS(2*Q34-2*R34) +79661*COS(O34-2*R34) -34782*COS(4*Q34-O34) -23210*COS(3*O34)  -21636*COS(4*Q34-2*O34) +(1-0.002516*K34)*24208*COS(2*Q34+P34-O34) +(1-0.002516*K34)*30824*COS(2*Q34+P34) -8379*COS(Q34-O34) -(1-0.002516*K34)*16675*COS(Q34+P34)  -(1-0.002516*K34)*12831*COS(2*Q34-P34+O34) -10445*COS(2*Q34+2*O34) -11650*COS(4*Q34) +14403*COS(2*Q34-3*O34) -(1-0.002516*K34)*7003*COS(P34-2*O34)  + (1-0.002516*K34)*10056*COS(2*Q34-P34-2*O34) +6322*COS(Q34+O34) -(1-0.002516*K34)*(1-0.002516*K34)*9884*COS(2*Q34-2*P34) +(1-0.002516*K34)*5751*COS(P34+2*O34) -(1-0.002516*K34)*(1-0.002516*K34)*4950*COS(2*Q34-2*P34-O34)  +4130*COS(2*Q34+O34-2*R34) -(1-0.002516*K34)*3958*COS(4*Q34-P34-O34) +3258*COS(3*Q34-O34) +(1-0.002516*K34)*2616*COS(2*Q34+P34+O34) -(1-0.002516*K34)*1897*COS(4*Q34-P34-2*O34)  -(1-0.002516*K34)*(1-0.002516*K34)*2117*COS(2*P34-O34) +(1-0.002516*K34)*(1-0.002516*K34)*2354*COS(2*Q34+2*P34-O34) -1423*COS(4*Q34+O34) -1117*COS(4*O34) -(1-0.002516*K34)*1571*COS(4*Q34-P34)  -1739*COS(Q34-2*O34) -4421*COS(2*O34-2*R34) +(1-0.002516*K34)*(1-0.002516*K34)*1165*COS(2*P34+O34) +8752*COS(2*Q34-O34-2*R34))/1000</f>
        <v>378129.847508543</v>
      </c>
      <c r="AT34" s="24" t="n">
        <f aca="false">60*ATAN(3476/AS34)/$E$6</f>
        <v>31.6009732482726</v>
      </c>
      <c r="AU34" s="28" t="n">
        <f aca="false">ATAN(0.99664719*TAN($E$6*input!$D$2))</f>
        <v>0.871010436227447</v>
      </c>
      <c r="AV34" s="28" t="n">
        <f aca="false">COS(AU34)</f>
        <v>0.644053912545846</v>
      </c>
      <c r="AW34" s="28" t="n">
        <f aca="false">0.99664719*SIN(AU34)</f>
        <v>0.762415269897027</v>
      </c>
      <c r="AX34" s="28" t="n">
        <f aca="false">6378.14/AS34</f>
        <v>0.01686759202434</v>
      </c>
      <c r="AY34" s="31" t="n">
        <f aca="false">L34-15*AF34</f>
        <v>-29.5663337074523</v>
      </c>
      <c r="AZ34" s="29" t="n">
        <f aca="false">COS($E$6*AE34)*SIN($E$6*AY34)</f>
        <v>-0.490224378431178</v>
      </c>
      <c r="BA34" s="29" t="n">
        <f aca="false">COS($E$6*AE34)*COS($E$6*AY34)-AV34*AX34</f>
        <v>0.853269186487988</v>
      </c>
      <c r="BB34" s="29" t="n">
        <f aca="false">SIN($E$6*AE34)-AW34*AX34</f>
        <v>-0.126678031560034</v>
      </c>
      <c r="BC34" s="45" t="n">
        <f aca="false">SQRT(AZ34^2+BA34^2+BB34^2)</f>
        <v>0.992187265337563</v>
      </c>
      <c r="BD34" s="20" t="n">
        <f aca="false">AS34*BC34</f>
        <v>375175.619342011</v>
      </c>
      <c r="BE34" s="30" t="str">
        <f aca="false">IF(OR(AND(BD34&gt;BD33,BD34&gt;BD35),AND(BD34&lt;BD33,BD34&lt;BD35)),BD34,"")</f>
        <v/>
      </c>
    </row>
    <row r="35" customFormat="false" ht="15" hidden="false" customHeight="false" outlineLevel="0" collapsed="false">
      <c r="A35" s="31" t="n">
        <v>16.5</v>
      </c>
      <c r="B35" s="30" t="n">
        <f aca="false">$B$2</f>
        <v>1</v>
      </c>
      <c r="C35" s="30" t="n">
        <f aca="false">C34</f>
        <v>12</v>
      </c>
      <c r="D35" s="30" t="n">
        <f aca="false">$D$2</f>
        <v>2022</v>
      </c>
      <c r="F35" s="38" t="n">
        <f aca="false">AK35</f>
        <v>29.532380058196</v>
      </c>
      <c r="G35" s="39" t="n">
        <f aca="false">F35+1.02/(TAN($E$6*(F35+10.3/(F35+5.11)))*60)</f>
        <v>29.5620280800615</v>
      </c>
      <c r="H35" s="38" t="n">
        <f aca="false">100*(1+COS($E$6*AO35))/2</f>
        <v>61.9274612906985</v>
      </c>
      <c r="I35" s="38" t="n">
        <f aca="false">IF(AG35&gt;180, AR35-180,AR35+180)</f>
        <v>154.08599239531</v>
      </c>
      <c r="J35" s="31" t="n">
        <f aca="false">INT(365.25*IF(C35&gt;2,D35+4716,D35-1+4716))+INT(30.6001*IF(C35&gt;2,C35+1,C35+12+1))+B35+A35/24+2-INT(IF(C35&gt;2,D35,D35-1)/100)+INT(INT(IF(C35&gt;2,D35,D35-1)/100)/4)-1524.5</f>
        <v>2459915.1875</v>
      </c>
      <c r="K35" s="47" t="n">
        <f aca="false">(J35-2451545)/36525</f>
        <v>0.229163244353183</v>
      </c>
      <c r="L35" s="31" t="n">
        <f aca="false">MOD(280.46061837+360.98564736629*(J35-2451545)+0.000387933*K35^2-K35^3/38710000+$E$4,360)</f>
        <v>333.01390347071</v>
      </c>
      <c r="M35" s="28" t="n">
        <f aca="false">0.606433+1336.855225*K35 - INT(0.606433+1336.855225*K35)</f>
        <v>0.964513591504101</v>
      </c>
      <c r="N35" s="31" t="n">
        <f aca="false">22640*SIN(O35)-4586*SIN(O35-2*Q35)+2370*SIN(2*Q35)+769*SIN(2*O35)-668*SIN(P35)-412*SIN(2*R35)-212*SIN(2*O35-2*Q35)-206*SIN(O35+P35-2*Q35)+192*SIN(O35+2*Q35)-165*SIN(P35-2*Q35)-125*SIN(Q35)-110*SIN(O35+P35)+148*SIN(O35-P35)-55*SIN(2*R35-2*Q35)</f>
        <v>21348.1339490905</v>
      </c>
      <c r="O35" s="29" t="n">
        <f aca="false">2*PI()*(0.374897+1325.55241*K35 - INT(0.374897+1325.55241*K35))</f>
        <v>0.897162431818554</v>
      </c>
      <c r="P35" s="32" t="n">
        <f aca="false">2*PI()*(0.993133+99.997361*K35 - INT(0.993133+99.997361*K35))</f>
        <v>5.71048976462931</v>
      </c>
      <c r="Q35" s="32" t="n">
        <f aca="false">2*PI()*(0.827361+1236.853086*K35 - INT(0.827361+1236.853086*K35))</f>
        <v>1.6878330687539</v>
      </c>
      <c r="R35" s="32" t="n">
        <f aca="false">2*PI()*(0.259086+1342.227825*K35 - INT(0.259086+1342.227825*K35))</f>
        <v>5.33045987535656</v>
      </c>
      <c r="S35" s="32" t="n">
        <f aca="false">R35+(N35+412*SIN(2*R35)+541*SIN(P35))/206264.8062</f>
        <v>5.43065061027004</v>
      </c>
      <c r="T35" s="32" t="n">
        <f aca="false">R35-2*Q35</f>
        <v>1.95479373784875</v>
      </c>
      <c r="U35" s="24" t="n">
        <f aca="false">-526*SIN(T35)+44*SIN(O35+T35)-31*SIN(-O35+T35)-23*SIN(P35+T35)+11*SIN(-P35+T35)-25*SIN(-2*O35+R35)+21*SIN(-O35+R35)</f>
        <v>-528.965294582521</v>
      </c>
      <c r="V35" s="32" t="n">
        <f aca="false">2*PI()*(M35+N35/1296000-INT(M35+N35/1296000))</f>
        <v>6.16371630076036</v>
      </c>
      <c r="W35" s="31" t="n">
        <f aca="false">V35/$E$6</f>
        <v>353.154930149557</v>
      </c>
      <c r="X35" s="32" t="n">
        <f aca="false">(18520*SIN(S35)+U35)/206264.8062</f>
        <v>-0.0701700656148278</v>
      </c>
      <c r="Y35" s="32" t="n">
        <f aca="false">COS(X35)*COS(V35)</f>
        <v>0.99042869446184</v>
      </c>
      <c r="Z35" s="32" t="n">
        <f aca="false">COS(X35)*SIN(V35)</f>
        <v>-0.118891711941864</v>
      </c>
      <c r="AA35" s="32" t="n">
        <f aca="false">SIN(X35)</f>
        <v>-0.0701124954494406</v>
      </c>
      <c r="AB35" s="32" t="n">
        <f aca="false">COS($E$6*(23.4393-46.815*K35/3600))*Z35-SIN($E$6*(23.4393-46.815*K35/3600))*AA35</f>
        <v>-0.0811976521381199</v>
      </c>
      <c r="AC35" s="32" t="n">
        <f aca="false">SIN($E$6*(23.4393-46.815*K35/3600))*Z35+COS($E$6*(23.4393-46.815*K35/3600))*AA35</f>
        <v>-0.11161515342404</v>
      </c>
      <c r="AD35" s="32" t="n">
        <f aca="false">SQRT(1-AC35*AC35)</f>
        <v>0.993751506930243</v>
      </c>
      <c r="AE35" s="31" t="n">
        <f aca="false">ATAN(AC35/AD35)/$E$6</f>
        <v>-6.40843046716947</v>
      </c>
      <c r="AF35" s="32" t="n">
        <f aca="false">IF(24*ATAN(AB35/(Y35+AD35))/PI()&gt;0,24*ATAN(AB35/(Y35+AD35))/PI(),24*ATAN(AB35/(Y35+AD35))/PI()+24)</f>
        <v>23.6875493202905</v>
      </c>
      <c r="AG35" s="31" t="n">
        <f aca="false">IF(L35-15*AF35&gt;0,L35-15*AF35,360+L35-15*AF35)</f>
        <v>337.700663666353</v>
      </c>
      <c r="AH35" s="29" t="n">
        <f aca="false">0.950724+0.051818*COS(O35)+0.009531*COS(2*Q35-O35)+0.007843*COS(2*Q35)+0.002824*COS(2*O35)+0.000857*COS(2*Q35+O35)+0.000533*COS(2*Q35-P35)*(1-0.002495*(J35-2415020)/36525)+0.000401*COS(2*Q35-P35-O35)*(1-0.002495*(J35-2415020)/36525)+0.00032*COS(O35-P35)*(1-0.002495*(J35-2415020)/36525)-0.000271*COS(Q35)</f>
        <v>0.966216531129993</v>
      </c>
      <c r="AI35" s="32" t="n">
        <f aca="false">ASIN(COS($E$6*$E$2)*COS($E$6*AE35)*COS($E$6*AG35)+SIN($E$6*$E$2)*SIN($E$6*AE35))/$E$6</f>
        <v>30.3644110234453</v>
      </c>
      <c r="AJ35" s="29" t="n">
        <f aca="false">ASIN((0.9983271+0.0016764*COS($E$6*2*$E$2))*COS($E$6*AI35)*SIN($E$6*AH35))/$E$6</f>
        <v>0.83203096524928</v>
      </c>
      <c r="AK35" s="29" t="n">
        <f aca="false">AI35-AJ35</f>
        <v>29.532380058196</v>
      </c>
      <c r="AL35" s="31" t="n">
        <f aca="false"> MOD(280.4664567 + 360007.6982779*K35/10 + 0.03032028*K35^2/100 + K35^3/49931000,360)</f>
        <v>250.519685571706</v>
      </c>
      <c r="AM35" s="29" t="n">
        <f aca="false"> AL35 + (1.9146 - 0.004817*K35 - 0.000014*K35^2)*SIN(P35)+ (0.019993 - 0.000101*K35)*SIN(2*P35)+ 0.00029*SIN(3*P35)</f>
        <v>249.464286612565</v>
      </c>
      <c r="AN35" s="29" t="n">
        <f aca="false">ACOS(COS(V35-$E$6*AM35)*COS(X35))/$E$6</f>
        <v>103.656298412935</v>
      </c>
      <c r="AO35" s="24" t="n">
        <f aca="false">180 - AN35 -0.1468*(1-0.0549*SIN(P35))*SIN($E$6*AN35)/(1-0.0167*SIN($E$6*AM35))</f>
        <v>76.1990696908157</v>
      </c>
      <c r="AP35" s="48" t="n">
        <f aca="false">SIN($E$6*AG35)</f>
        <v>-0.379445442648575</v>
      </c>
      <c r="AQ35" s="48" t="n">
        <f aca="false">COS($E$6*AG35)*SIN($E$6*$E$2) - TAN($E$6*AE35)*COS($E$6*$E$2)</f>
        <v>0.780951084028553</v>
      </c>
      <c r="AR35" s="48" t="n">
        <f aca="false">IF(OR(AND(AP35*AQ35&gt;0), AND(AP35&lt;0,AQ35&gt;0)), MOD(ATAN2(AQ35,AP35)/$E$6+360,360),  ATAN2(AQ35,AP35)/$E$6)</f>
        <v>334.08599239531</v>
      </c>
      <c r="AS35" s="20" t="n">
        <f aca="false"> 385000.56 + (-20905355*COS(O35) - 3699111*COS(2*Q35-O35) - 2955968*COS(2*Q35) - 569925*COS(2*O35) + (1-0.002516*K35)*48888*COS(P35) - 3149*COS(2*R35)  +246158*COS(2*Q35-2*O35) -(1-0.002516*K35)*152138*COS(2*Q35-P35-O35) -170733*COS(2*Q35+O35) -(1-0.002516*K35)*204586*COS(2*Q35-P35) -(1-0.002516*K35)*129620*COS(P35-O35)  + 108743*COS(Q35) +(1-0.002516*K35)*104755*COS(P35+O35) +10321*COS(2*Q35-2*R35) +79661*COS(O35-2*R35) -34782*COS(4*Q35-O35) -23210*COS(3*O35)  -21636*COS(4*Q35-2*O35) +(1-0.002516*K35)*24208*COS(2*Q35+P35-O35) +(1-0.002516*K35)*30824*COS(2*Q35+P35) -8379*COS(Q35-O35) -(1-0.002516*K35)*16675*COS(Q35+P35)  -(1-0.002516*K35)*12831*COS(2*Q35-P35+O35) -10445*COS(2*Q35+2*O35) -11650*COS(4*Q35) +14403*COS(2*Q35-3*O35) -(1-0.002516*K35)*7003*COS(P35-2*O35)  + (1-0.002516*K35)*10056*COS(2*Q35-P35-2*O35) +6322*COS(Q35+O35) -(1-0.002516*K35)*(1-0.002516*K35)*9884*COS(2*Q35-2*P35) +(1-0.002516*K35)*5751*COS(P35+2*O35) -(1-0.002516*K35)*(1-0.002516*K35)*4950*COS(2*Q35-2*P35-O35)  +4130*COS(2*Q35+O35-2*R35) -(1-0.002516*K35)*3958*COS(4*Q35-P35-O35) +3258*COS(3*Q35-O35) +(1-0.002516*K35)*2616*COS(2*Q35+P35+O35) -(1-0.002516*K35)*1897*COS(4*Q35-P35-2*O35)  -(1-0.002516*K35)*(1-0.002516*K35)*2117*COS(2*P35-O35) +(1-0.002516*K35)*(1-0.002516*K35)*2354*COS(2*Q35+2*P35-O35) -1423*COS(4*Q35+O35) -1117*COS(4*O35) -(1-0.002516*K35)*1571*COS(4*Q35-P35)  -1739*COS(Q35-2*O35) -4421*COS(2*O35-2*R35) +(1-0.002516*K35)*(1-0.002516*K35)*1165*COS(2*P35+O35) +8752*COS(2*Q35-O35-2*R35))/1000</f>
        <v>378212.291899719</v>
      </c>
      <c r="AT35" s="24" t="n">
        <f aca="false">60*ATAN(3476/AS35)/$E$6</f>
        <v>31.5940851160228</v>
      </c>
      <c r="AU35" s="28" t="n">
        <f aca="false">ATAN(0.99664719*TAN($E$6*input!$D$2))</f>
        <v>0.871010436227447</v>
      </c>
      <c r="AV35" s="28" t="n">
        <f aca="false">COS(AU35)</f>
        <v>0.644053912545846</v>
      </c>
      <c r="AW35" s="28" t="n">
        <f aca="false">0.99664719*SIN(AU35)</f>
        <v>0.762415269897027</v>
      </c>
      <c r="AX35" s="28" t="n">
        <f aca="false">6378.14/AS35</f>
        <v>0.0168639151518934</v>
      </c>
      <c r="AY35" s="31" t="n">
        <f aca="false">L35-15*AF35</f>
        <v>-22.2993363336469</v>
      </c>
      <c r="AZ35" s="29" t="n">
        <f aca="false">COS($E$6*AE35)*SIN($E$6*AY35)</f>
        <v>-0.377074480429835</v>
      </c>
      <c r="BA35" s="29" t="n">
        <f aca="false">COS($E$6*AE35)*COS($E$6*AY35)-AV35*AX35</f>
        <v>0.908571649114807</v>
      </c>
      <c r="BB35" s="29" t="n">
        <f aca="false">SIN($E$6*AE35)-AW35*AX35</f>
        <v>-0.124472459846091</v>
      </c>
      <c r="BC35" s="45" t="n">
        <f aca="false">SQRT(AZ35^2+BA35^2+BB35^2)</f>
        <v>0.991554838940725</v>
      </c>
      <c r="BD35" s="20" t="n">
        <f aca="false">AS35*BC35</f>
        <v>375018.228180028</v>
      </c>
      <c r="BE35" s="30" t="str">
        <f aca="false">IF(OR(AND(BD35&gt;BD34,BD35&gt;BD36),AND(BD35&lt;BD34,BD35&lt;BD36)),BD35,"")</f>
        <v/>
      </c>
    </row>
    <row r="36" customFormat="false" ht="15" hidden="false" customHeight="false" outlineLevel="0" collapsed="false">
      <c r="A36" s="31" t="n">
        <v>17</v>
      </c>
      <c r="B36" s="30" t="n">
        <f aca="false">$B$2</f>
        <v>1</v>
      </c>
      <c r="C36" s="30" t="n">
        <f aca="false">C35</f>
        <v>12</v>
      </c>
      <c r="D36" s="30" t="n">
        <f aca="false">$D$2</f>
        <v>2022</v>
      </c>
      <c r="F36" s="38" t="n">
        <f aca="false">AK36</f>
        <v>31.4098362127364</v>
      </c>
      <c r="G36" s="39" t="n">
        <f aca="false">F36+1.02/(TAN($E$6*(F36+10.3/(F36+5.11)))*60)</f>
        <v>31.4373702915026</v>
      </c>
      <c r="H36" s="38" t="n">
        <f aca="false">100*(1+COS($E$6*AO36))/2</f>
        <v>62.1481407505263</v>
      </c>
      <c r="I36" s="38" t="n">
        <f aca="false">IF(AG36&gt;180, AR36-180,AR36+180)</f>
        <v>162.257022369434</v>
      </c>
      <c r="J36" s="31" t="n">
        <f aca="false">INT(365.25*IF(C36&gt;2,D36+4716,D36-1+4716))+INT(30.6001*IF(C36&gt;2,C36+1,C36+12+1))+B36+A36/24+2-INT(IF(C36&gt;2,D36,D36-1)/100)+INT(INT(IF(C36&gt;2,D36,D36-1)/100)/4)-1524.5</f>
        <v>2459915.20833333</v>
      </c>
      <c r="K36" s="47" t="n">
        <f aca="false">(J36-2451545)/36525</f>
        <v>0.229163814738768</v>
      </c>
      <c r="L36" s="31" t="n">
        <f aca="false">MOD(280.46061837+360.98564736629*(J36-2451545)+0.000387933*K36^2-K36^3/38710000+$E$4,360)</f>
        <v>340.534437846858</v>
      </c>
      <c r="M36" s="28" t="n">
        <f aca="false">0.606433+1336.855225*K36 - INT(0.606433+1336.855225*K36)</f>
        <v>0.965276114453559</v>
      </c>
      <c r="N36" s="31" t="n">
        <f aca="false">22640*SIN(O36)-4586*SIN(O36-2*Q36)+2370*SIN(2*Q36)+769*SIN(2*O36)-668*SIN(P36)-412*SIN(2*R36)-212*SIN(2*O36-2*Q36)-206*SIN(O36+P36-2*Q36)+192*SIN(O36+2*Q36)-165*SIN(P36-2*Q36)-125*SIN(Q36)-110*SIN(O36+P36)+148*SIN(O36-P36)-55*SIN(2*R36-2*Q36)</f>
        <v>21375.889175576</v>
      </c>
      <c r="O36" s="29" t="n">
        <f aca="false">2*PI()*(0.374897+1325.55241*K36 - INT(0.374897+1325.55241*K36))</f>
        <v>0.901912997349391</v>
      </c>
      <c r="P36" s="32" t="n">
        <f aca="false">2*PI()*(0.993133+99.997361*K36 - INT(0.993133+99.997361*K36))</f>
        <v>5.7108481390042</v>
      </c>
      <c r="Q36" s="32" t="n">
        <f aca="false">2*PI()*(0.827361+1236.853086*K36 - INT(0.827361+1236.853086*K36))</f>
        <v>1.69226575024788</v>
      </c>
      <c r="R36" s="32" t="n">
        <f aca="false">2*PI()*(0.259086+1342.227825*K36 - INT(0.259086+1342.227825*K36))</f>
        <v>5.33527020287886</v>
      </c>
      <c r="S36" s="32" t="n">
        <f aca="false">R36+(N36+412*SIN(2*R36)+541*SIN(P36))/206264.8062</f>
        <v>5.43559006484996</v>
      </c>
      <c r="T36" s="32" t="n">
        <f aca="false">R36-2*Q36</f>
        <v>1.95073870238311</v>
      </c>
      <c r="U36" s="24" t="n">
        <f aca="false">-526*SIN(T36)+44*SIN(O36+T36)-31*SIN(-O36+T36)-23*SIN(P36+T36)+11*SIN(-P36+T36)-25*SIN(-2*O36+R36)+21*SIN(-O36+R36)</f>
        <v>-529.707615250611</v>
      </c>
      <c r="V36" s="32" t="n">
        <f aca="false">2*PI()*(M36+N36/1296000-INT(M36+N36/1296000))</f>
        <v>6.16864193488801</v>
      </c>
      <c r="W36" s="31" t="n">
        <f aca="false">V36/$E$6</f>
        <v>353.437148196497</v>
      </c>
      <c r="X36" s="32" t="n">
        <f aca="false">(18520*SIN(S36)+U36)/206264.8062</f>
        <v>-0.0698809830842299</v>
      </c>
      <c r="Y36" s="32" t="n">
        <f aca="false">COS(X36)*COS(V36)</f>
        <v>0.991022388437406</v>
      </c>
      <c r="Z36" s="32" t="n">
        <f aca="false">COS(X36)*SIN(V36)</f>
        <v>-0.114014111787385</v>
      </c>
      <c r="AA36" s="32" t="n">
        <f aca="false">SIN(X36)</f>
        <v>-0.0698241213990684</v>
      </c>
      <c r="AB36" s="32" t="n">
        <f aca="false">COS($E$6*(23.4393-46.815*K36/3600))*Z36-SIN($E$6*(23.4393-46.815*K36/3600))*AA36</f>
        <v>-0.0768371357869682</v>
      </c>
      <c r="AC36" s="32" t="n">
        <f aca="false">SIN($E$6*(23.4393-46.815*K36/3600))*Z36+COS($E$6*(23.4393-46.815*K36/3600))*AA36</f>
        <v>-0.109410603598889</v>
      </c>
      <c r="AD36" s="32" t="n">
        <f aca="false">SQRT(1-AC36*AC36)</f>
        <v>0.993996639742875</v>
      </c>
      <c r="AE36" s="31" t="n">
        <f aca="false">ATAN(AC36/AD36)/$E$6</f>
        <v>-6.28134057489135</v>
      </c>
      <c r="AF36" s="32" t="n">
        <f aca="false">IF(24*ATAN(AB36/(Y36+AD36))/PI()&gt;0,24*ATAN(AB36/(Y36+AD36))/PI(),24*ATAN(AB36/(Y36+AD36))/PI()+24)</f>
        <v>23.7044362998627</v>
      </c>
      <c r="AG36" s="31" t="n">
        <f aca="false">IF(L36-15*AF36&gt;0,L36-15*AF36,360+L36-15*AF36)</f>
        <v>344.967893348917</v>
      </c>
      <c r="AH36" s="29" t="n">
        <f aca="false">0.950724+0.051818*COS(O36)+0.009531*COS(2*Q36-O36)+0.007843*COS(2*Q36)+0.002824*COS(2*O36)+0.000857*COS(2*Q36+O36)+0.000533*COS(2*Q36-P36)*(1-0.002495*(J36-2415020)/36525)+0.000401*COS(2*Q36-P36-O36)*(1-0.002495*(J36-2415020)/36525)+0.00032*COS(O36-P36)*(1-0.002495*(J36-2415020)/36525)-0.000271*COS(Q36)</f>
        <v>0.966003524922084</v>
      </c>
      <c r="AI36" s="32" t="n">
        <f aca="false">ASIN(COS($E$6*$E$2)*COS($E$6*AE36)*COS($E$6*AG36)+SIN($E$6*$E$2)*SIN($E$6*AE36))/$E$6</f>
        <v>32.2254172828443</v>
      </c>
      <c r="AJ36" s="29" t="n">
        <f aca="false">ASIN((0.9983271+0.0016764*COS($E$6*2*$E$2))*COS($E$6*AI36)*SIN($E$6*AH36))/$E$6</f>
        <v>0.815581070107883</v>
      </c>
      <c r="AK36" s="29" t="n">
        <f aca="false">AI36-AJ36</f>
        <v>31.4098362127364</v>
      </c>
      <c r="AL36" s="31" t="n">
        <f aca="false"> MOD(280.4664567 + 360007.6982779*K36/10 + 0.03032028*K36^2/100 + K36^3/49931000,360)</f>
        <v>250.540219891942</v>
      </c>
      <c r="AM36" s="29" t="n">
        <f aca="false"> AL36 + (1.9146 - 0.004817*K36 - 0.000014*K36^2)*SIN(P36)+ (0.019993 - 0.000101*K36)*SIN(2*P36)+ 0.00029*SIN(3*P36)</f>
        <v>249.485403199064</v>
      </c>
      <c r="AN36" s="29" t="n">
        <f aca="false">ACOS(COS(V36-$E$6*AM36)*COS(X36))/$E$6</f>
        <v>103.917006453925</v>
      </c>
      <c r="AO36" s="24" t="n">
        <f aca="false">180 - AN36 -0.1468*(1-0.0549*SIN(P36))*SIN($E$6*AN36)/(1-0.0167*SIN($E$6*AM36))</f>
        <v>75.9385256709067</v>
      </c>
      <c r="AP36" s="48" t="n">
        <f aca="false">SIN($E$6*AG36)</f>
        <v>-0.259360277176602</v>
      </c>
      <c r="AQ36" s="48" t="n">
        <f aca="false">COS($E$6*AG36)*SIN($E$6*$E$2) - TAN($E$6*AE36)*COS($E$6*$E$2)</f>
        <v>0.810583426654867</v>
      </c>
      <c r="AR36" s="48" t="n">
        <f aca="false">IF(OR(AND(AP36*AQ36&gt;0), AND(AP36&lt;0,AQ36&gt;0)), MOD(ATAN2(AQ36,AP36)/$E$6+360,360),  ATAN2(AQ36,AP36)/$E$6)</f>
        <v>342.257022369434</v>
      </c>
      <c r="AS36" s="20" t="n">
        <f aca="false"> 385000.56 + (-20905355*COS(O36) - 3699111*COS(2*Q36-O36) - 2955968*COS(2*Q36) - 569925*COS(2*O36) + (1-0.002516*K36)*48888*COS(P36) - 3149*COS(2*R36)  +246158*COS(2*Q36-2*O36) -(1-0.002516*K36)*152138*COS(2*Q36-P36-O36) -170733*COS(2*Q36+O36) -(1-0.002516*K36)*204586*COS(2*Q36-P36) -(1-0.002516*K36)*129620*COS(P36-O36)  + 108743*COS(Q36) +(1-0.002516*K36)*104755*COS(P36+O36) +10321*COS(2*Q36-2*R36) +79661*COS(O36-2*R36) -34782*COS(4*Q36-O36) -23210*COS(3*O36)  -21636*COS(4*Q36-2*O36) +(1-0.002516*K36)*24208*COS(2*Q36+P36-O36) +(1-0.002516*K36)*30824*COS(2*Q36+P36) -8379*COS(Q36-O36) -(1-0.002516*K36)*16675*COS(Q36+P36)  -(1-0.002516*K36)*12831*COS(2*Q36-P36+O36) -10445*COS(2*Q36+2*O36) -11650*COS(4*Q36) +14403*COS(2*Q36-3*O36) -(1-0.002516*K36)*7003*COS(P36-2*O36)  + (1-0.002516*K36)*10056*COS(2*Q36-P36-2*O36) +6322*COS(Q36+O36) -(1-0.002516*K36)*(1-0.002516*K36)*9884*COS(2*Q36-2*P36) +(1-0.002516*K36)*5751*COS(P36+2*O36) -(1-0.002516*K36)*(1-0.002516*K36)*4950*COS(2*Q36-2*P36-O36)  +4130*COS(2*Q36+O36-2*R36) -(1-0.002516*K36)*3958*COS(4*Q36-P36-O36) +3258*COS(3*Q36-O36) +(1-0.002516*K36)*2616*COS(2*Q36+P36+O36) -(1-0.002516*K36)*1897*COS(4*Q36-P36-2*O36)  -(1-0.002516*K36)*(1-0.002516*K36)*2117*COS(2*P36-O36) +(1-0.002516*K36)*(1-0.002516*K36)*2354*COS(2*Q36+2*P36-O36) -1423*COS(4*Q36+O36) -1117*COS(4*O36) -(1-0.002516*K36)*1571*COS(4*Q36-P36)  -1739*COS(Q36-2*O36) -4421*COS(2*O36-2*R36) +(1-0.002516*K36)*(1-0.002516*K36)*1165*COS(2*P36+O36) +8752*COS(2*Q36-O36-2*R36))/1000</f>
        <v>378294.727607196</v>
      </c>
      <c r="AT36" s="24" t="n">
        <f aca="false">60*ATAN(3476/AS36)/$E$6</f>
        <v>31.5872007109146</v>
      </c>
      <c r="AU36" s="28" t="n">
        <f aca="false">ATAN(0.99664719*TAN($E$6*input!$D$2))</f>
        <v>0.871010436227447</v>
      </c>
      <c r="AV36" s="28" t="n">
        <f aca="false">COS(AU36)</f>
        <v>0.644053912545846</v>
      </c>
      <c r="AW36" s="28" t="n">
        <f aca="false">0.99664719*SIN(AU36)</f>
        <v>0.762415269897027</v>
      </c>
      <c r="AX36" s="28" t="n">
        <f aca="false">6378.14/AS36</f>
        <v>0.0168602402691236</v>
      </c>
      <c r="AY36" s="31" t="n">
        <f aca="false">L36-15*AF36</f>
        <v>-15.0321066510827</v>
      </c>
      <c r="AZ36" s="29" t="n">
        <f aca="false">COS($E$6*AE36)*SIN($E$6*AY36)</f>
        <v>-0.257803243996323</v>
      </c>
      <c r="BA36" s="29" t="n">
        <f aca="false">COS($E$6*AE36)*COS($E$6*AY36)-AV36*AX36</f>
        <v>0.949123808218532</v>
      </c>
      <c r="BB36" s="29" t="n">
        <f aca="false">SIN($E$6*AE36)-AW36*AX36</f>
        <v>-0.122265108234202</v>
      </c>
      <c r="BC36" s="45" t="n">
        <f aca="false">SQRT(AZ36^2+BA36^2+BB36^2)</f>
        <v>0.991083887788414</v>
      </c>
      <c r="BD36" s="20" t="n">
        <f aca="false">AS36*BC36</f>
        <v>374921.809366799</v>
      </c>
      <c r="BE36" s="30" t="str">
        <f aca="false">IF(OR(AND(BD36&gt;BD35,BD36&gt;BD37),AND(BD36&lt;BD35,BD36&lt;BD37)),BD36,"")</f>
        <v/>
      </c>
    </row>
    <row r="37" customFormat="false" ht="15" hidden="false" customHeight="false" outlineLevel="0" collapsed="false">
      <c r="A37" s="31" t="n">
        <v>17.5</v>
      </c>
      <c r="B37" s="30" t="n">
        <f aca="false">$B$2</f>
        <v>1</v>
      </c>
      <c r="C37" s="30" t="n">
        <f aca="false">C36</f>
        <v>12</v>
      </c>
      <c r="D37" s="30" t="n">
        <f aca="false">$D$2</f>
        <v>2022</v>
      </c>
      <c r="F37" s="38" t="n">
        <f aca="false">AK37</f>
        <v>32.6382421660198</v>
      </c>
      <c r="G37" s="39" t="n">
        <f aca="false">F37+1.02/(TAN($E$6*(F37+10.3/(F37+5.11)))*60)</f>
        <v>32.6645090031419</v>
      </c>
      <c r="H37" s="38" t="n">
        <f aca="false">100*(1+COS($E$6*AO37))/2</f>
        <v>62.3684657595535</v>
      </c>
      <c r="I37" s="38" t="n">
        <f aca="false">IF(AG37&gt;180, AR37-180,AR37+180)</f>
        <v>170.736379342595</v>
      </c>
      <c r="J37" s="31" t="n">
        <f aca="false">INT(365.25*IF(C37&gt;2,D37+4716,D37-1+4716))+INT(30.6001*IF(C37&gt;2,C37+1,C37+12+1))+B37+A37/24+2-INT(IF(C37&gt;2,D37,D37-1)/100)+INT(INT(IF(C37&gt;2,D37,D37-1)/100)/4)-1524.5</f>
        <v>2459915.22916667</v>
      </c>
      <c r="K37" s="47" t="n">
        <f aca="false">(J37-2451545)/36525</f>
        <v>0.22916438512434</v>
      </c>
      <c r="L37" s="31" t="n">
        <f aca="false">MOD(280.46061837+360.98564736629*(J37-2451545)+0.000387933*K37^2-K37^3/38710000+$E$4,360)</f>
        <v>348.054972054902</v>
      </c>
      <c r="M37" s="28" t="n">
        <f aca="false">0.606433+1336.855225*K37 - INT(0.606433+1336.855225*K37)</f>
        <v>0.966038637385964</v>
      </c>
      <c r="N37" s="31" t="n">
        <f aca="false">22640*SIN(O37)-4586*SIN(O37-2*Q37)+2370*SIN(2*Q37)+769*SIN(2*O37)-668*SIN(P37)-412*SIN(2*R37)-212*SIN(2*O37-2*Q37)-206*SIN(O37+P37-2*Q37)+192*SIN(O37+2*Q37)-165*SIN(P37-2*Q37)-125*SIN(Q37)-110*SIN(O37+P37)+148*SIN(O37-P37)-55*SIN(2*R37-2*Q37)</f>
        <v>21403.1784246348</v>
      </c>
      <c r="O37" s="29" t="n">
        <f aca="false">2*PI()*(0.374897+1325.55241*K37 - INT(0.374897+1325.55241*K37))</f>
        <v>0.906663562773795</v>
      </c>
      <c r="P37" s="32" t="n">
        <f aca="false">2*PI()*(0.993133+99.997361*K37 - INT(0.993133+99.997361*K37))</f>
        <v>5.71120651337109</v>
      </c>
      <c r="Q37" s="32" t="n">
        <f aca="false">2*PI()*(0.827361+1236.853086*K37 - INT(0.827361+1236.853086*K37))</f>
        <v>1.69669843164257</v>
      </c>
      <c r="R37" s="32" t="n">
        <f aca="false">2*PI()*(0.259086+1342.227825*K37 - INT(0.259086+1342.227825*K37))</f>
        <v>5.34008053029331</v>
      </c>
      <c r="S37" s="32" t="n">
        <f aca="false">R37+(N37+412*SIN(2*R37)+541*SIN(P37))/206264.8062</f>
        <v>5.44052743557711</v>
      </c>
      <c r="T37" s="32" t="n">
        <f aca="false">R37-2*Q37</f>
        <v>1.94668366700818</v>
      </c>
      <c r="U37" s="24" t="n">
        <f aca="false">-526*SIN(T37)+44*SIN(O37+T37)-31*SIN(-O37+T37)-23*SIN(P37+T37)+11*SIN(-P37+T37)-25*SIN(-2*O37+R37)+21*SIN(-O37+R37)</f>
        <v>-530.439850721978</v>
      </c>
      <c r="V37" s="32" t="n">
        <f aca="false">2*PI()*(M37+N37/1296000-INT(M37+N37/1296000))</f>
        <v>6.17356530978619</v>
      </c>
      <c r="W37" s="31" t="n">
        <f aca="false">V37/$E$6</f>
        <v>353.719236799123</v>
      </c>
      <c r="X37" s="32" t="n">
        <f aca="false">(18520*SIN(S37)+U37)/206264.8062</f>
        <v>-0.0695903338627783</v>
      </c>
      <c r="Y37" s="32" t="n">
        <f aca="false">COS(X37)*COS(V37)</f>
        <v>0.991591840038657</v>
      </c>
      <c r="Z37" s="32" t="n">
        <f aca="false">COS(X37)*SIN(V37)</f>
        <v>-0.109135790523112</v>
      </c>
      <c r="AA37" s="32" t="n">
        <f aca="false">SIN(X37)</f>
        <v>-0.069534178614882</v>
      </c>
      <c r="AB37" s="32" t="n">
        <f aca="false">COS($E$6*(23.4393-46.815*K37/3600))*Z37-SIN($E$6*(23.4393-46.815*K37/3600))*AA37</f>
        <v>-0.0724765817469071</v>
      </c>
      <c r="AC37" s="32" t="n">
        <f aca="false">SIN($E$6*(23.4393-46.815*K37/3600))*Z37+COS($E$6*(23.4393-46.815*K37/3600))*AA37</f>
        <v>-0.107204327650682</v>
      </c>
      <c r="AD37" s="32" t="n">
        <f aca="false">SQRT(1-AC37*AC37)</f>
        <v>0.994237010039842</v>
      </c>
      <c r="AE37" s="31" t="n">
        <f aca="false">ATAN(AC37/AD37)/$E$6</f>
        <v>-6.15418223170381</v>
      </c>
      <c r="AF37" s="32" t="n">
        <f aca="false">IF(24*ATAN(AB37/(Y37+AD37))/PI()&gt;0,24*ATAN(AB37/(Y37+AD37))/PI(),24*ATAN(AB37/(Y37+AD37))/PI()+24)</f>
        <v>23.7213079779622</v>
      </c>
      <c r="AG37" s="31" t="n">
        <f aca="false">IF(L37-15*AF37&gt;0,L37-15*AF37,360+L37-15*AF37)</f>
        <v>352.235352385469</v>
      </c>
      <c r="AH37" s="29" t="n">
        <f aca="false">0.950724+0.051818*COS(O37)+0.009531*COS(2*Q37-O37)+0.007843*COS(2*Q37)+0.002824*COS(2*O37)+0.000857*COS(2*Q37+O37)+0.000533*COS(2*Q37-P37)*(1-0.002495*(J37-2415020)/36525)+0.000401*COS(2*Q37-P37-O37)*(1-0.002495*(J37-2415020)/36525)+0.00032*COS(O37-P37)*(1-0.002495*(J37-2415020)/36525)-0.000271*COS(Q37)</f>
        <v>0.965790674711733</v>
      </c>
      <c r="AI37" s="32" t="n">
        <f aca="false">ASIN(COS($E$6*$E$2)*COS($E$6*AE37)*COS($E$6*AG37)+SIN($E$6*$E$2)*SIN($E$6*AE37))/$E$6</f>
        <v>33.4425410350888</v>
      </c>
      <c r="AJ37" s="29" t="n">
        <f aca="false">ASIN((0.9983271+0.0016764*COS($E$6*2*$E$2))*COS($E$6*AI37)*SIN($E$6*AH37))/$E$6</f>
        <v>0.804298869068966</v>
      </c>
      <c r="AK37" s="29" t="n">
        <f aca="false">AI37-AJ37</f>
        <v>32.6382421660198</v>
      </c>
      <c r="AL37" s="31" t="n">
        <f aca="false"> MOD(280.4664567 + 360007.6982779*K37/10 + 0.03032028*K37^2/100 + K37^3/49931000,360)</f>
        <v>250.560754211714</v>
      </c>
      <c r="AM37" s="29" t="n">
        <f aca="false"> AL37 + (1.9146 - 0.004817*K37 - 0.000014*K37^2)*SIN(P37)+ (0.019993 - 0.000101*K37)*SIN(2*P37)+ 0.00029*SIN(3*P37)</f>
        <v>249.506519927858</v>
      </c>
      <c r="AN37" s="29" t="n">
        <f aca="false">ACOS(COS(V37-$E$6*AM37)*COS(X37))/$E$6</f>
        <v>104.177595297051</v>
      </c>
      <c r="AO37" s="24" t="n">
        <f aca="false">180 - AN37 -0.1468*(1-0.0549*SIN(P37))*SIN($E$6*AN37)/(1-0.0167*SIN($E$6*AM37))</f>
        <v>75.678103758444</v>
      </c>
      <c r="AP37" s="48" t="n">
        <f aca="false">SIN($E$6*AG37)</f>
        <v>-0.135104239840282</v>
      </c>
      <c r="AQ37" s="48" t="n">
        <f aca="false">COS($E$6*AG37)*SIN($E$6*$E$2) - TAN($E$6*AE37)*COS($E$6*$E$2)</f>
        <v>0.828329921576548</v>
      </c>
      <c r="AR37" s="48" t="n">
        <f aca="false">IF(OR(AND(AP37*AQ37&gt;0), AND(AP37&lt;0,AQ37&gt;0)), MOD(ATAN2(AQ37,AP37)/$E$6+360,360),  ATAN2(AQ37,AP37)/$E$6)</f>
        <v>350.736379342595</v>
      </c>
      <c r="AS37" s="20" t="n">
        <f aca="false"> 385000.56 + (-20905355*COS(O37) - 3699111*COS(2*Q37-O37) - 2955968*COS(2*Q37) - 569925*COS(2*O37) + (1-0.002516*K37)*48888*COS(P37) - 3149*COS(2*R37)  +246158*COS(2*Q37-2*O37) -(1-0.002516*K37)*152138*COS(2*Q37-P37-O37) -170733*COS(2*Q37+O37) -(1-0.002516*K37)*204586*COS(2*Q37-P37) -(1-0.002516*K37)*129620*COS(P37-O37)  + 108743*COS(Q37) +(1-0.002516*K37)*104755*COS(P37+O37) +10321*COS(2*Q37-2*R37) +79661*COS(O37-2*R37) -34782*COS(4*Q37-O37) -23210*COS(3*O37)  -21636*COS(4*Q37-2*O37) +(1-0.002516*K37)*24208*COS(2*Q37+P37-O37) +(1-0.002516*K37)*30824*COS(2*Q37+P37) -8379*COS(Q37-O37) -(1-0.002516*K37)*16675*COS(Q37+P37)  -(1-0.002516*K37)*12831*COS(2*Q37-P37+O37) -10445*COS(2*Q37+2*O37) -11650*COS(4*Q37) +14403*COS(2*Q37-3*O37) -(1-0.002516*K37)*7003*COS(P37-2*O37)  + (1-0.002516*K37)*10056*COS(2*Q37-P37-2*O37) +6322*COS(Q37+O37) -(1-0.002516*K37)*(1-0.002516*K37)*9884*COS(2*Q37-2*P37) +(1-0.002516*K37)*5751*COS(P37+2*O37) -(1-0.002516*K37)*(1-0.002516*K37)*4950*COS(2*Q37-2*P37-O37)  +4130*COS(2*Q37+O37-2*R37) -(1-0.002516*K37)*3958*COS(4*Q37-P37-O37) +3258*COS(3*Q37-O37) +(1-0.002516*K37)*2616*COS(2*Q37+P37+O37) -(1-0.002516*K37)*1897*COS(4*Q37-P37-2*O37)  -(1-0.002516*K37)*(1-0.002516*K37)*2117*COS(2*P37-O37) +(1-0.002516*K37)*(1-0.002516*K37)*2354*COS(2*Q37+2*P37-O37) -1423*COS(4*Q37+O37) -1117*COS(4*O37) -(1-0.002516*K37)*1571*COS(4*Q37-P37)  -1739*COS(Q37-2*O37) -4421*COS(2*O37-2*R37) +(1-0.002516*K37)*(1-0.002516*K37)*1165*COS(2*P37+O37) +8752*COS(2*Q37-O37-2*R37))/1000</f>
        <v>378377.153274218</v>
      </c>
      <c r="AT37" s="24" t="n">
        <f aca="false">60*ATAN(3476/AS37)/$E$6</f>
        <v>31.5803201432705</v>
      </c>
      <c r="AU37" s="28" t="n">
        <f aca="false">ATAN(0.99664719*TAN($E$6*input!$D$2))</f>
        <v>0.871010436227447</v>
      </c>
      <c r="AV37" s="28" t="n">
        <f aca="false">COS(AU37)</f>
        <v>0.644053912545846</v>
      </c>
      <c r="AW37" s="28" t="n">
        <f aca="false">0.99664719*SIN(AU37)</f>
        <v>0.762415269897027</v>
      </c>
      <c r="AX37" s="28" t="n">
        <f aca="false">6378.14/AS37</f>
        <v>0.0168565674349202</v>
      </c>
      <c r="AY37" s="31" t="n">
        <f aca="false">L37-15*AF37</f>
        <v>-7.7646476145311</v>
      </c>
      <c r="AZ37" s="29" t="n">
        <f aca="false">COS($E$6*AE37)*SIN($E$6*AY37)</f>
        <v>-0.134325635462508</v>
      </c>
      <c r="BA37" s="29" t="n">
        <f aca="false">COS($E$6*AE37)*COS($E$6*AY37)-AV37*AX37</f>
        <v>0.974264700924255</v>
      </c>
      <c r="BB37" s="29" t="n">
        <f aca="false">SIN($E$6*AE37)-AW37*AX37</f>
        <v>-0.120056032061114</v>
      </c>
      <c r="BC37" s="45" t="n">
        <f aca="false">SQRT(AZ37^2+BA37^2+BB37^2)</f>
        <v>0.990781779527507</v>
      </c>
      <c r="BD37" s="20" t="n">
        <f aca="false">AS37*BC37</f>
        <v>374889.189253582</v>
      </c>
      <c r="BE37" s="49" t="n">
        <f aca="false">IF(OR(AND(BD37&gt;BD36,BD37&gt;BD38),AND(BD37&lt;BD36,BD37&lt;BD38)),BD37,"")</f>
        <v>374889.189253582</v>
      </c>
    </row>
    <row r="38" customFormat="false" ht="15" hidden="false" customHeight="false" outlineLevel="0" collapsed="false">
      <c r="A38" s="31" t="n">
        <v>18</v>
      </c>
      <c r="B38" s="30" t="n">
        <f aca="false">$B$2</f>
        <v>1</v>
      </c>
      <c r="C38" s="30" t="n">
        <f aca="false">C37</f>
        <v>12</v>
      </c>
      <c r="D38" s="30" t="n">
        <f aca="false">$D$2</f>
        <v>2022</v>
      </c>
      <c r="F38" s="38" t="n">
        <f aca="false">AK38</f>
        <v>33.172195317822</v>
      </c>
      <c r="G38" s="39" t="n">
        <f aca="false">F38+1.02/(TAN($E$6*(F38+10.3/(F38+5.11)))*60)</f>
        <v>33.1979368259795</v>
      </c>
      <c r="H38" s="38" t="n">
        <f aca="false">100*(1+COS($E$6*AO38))/2</f>
        <v>62.5884322905628</v>
      </c>
      <c r="I38" s="38" t="n">
        <f aca="false">IF(AG38&gt;180, AR38-180,AR38+180)</f>
        <v>179.404066685872</v>
      </c>
      <c r="J38" s="31" t="n">
        <f aca="false">INT(365.25*IF(C38&gt;2,D38+4716,D38-1+4716))+INT(30.6001*IF(C38&gt;2,C38+1,C38+12+1))+B38+A38/24+2-INT(IF(C38&gt;2,D38,D38-1)/100)+INT(INT(IF(C38&gt;2,D38,D38-1)/100)/4)-1524.5</f>
        <v>2459915.25</v>
      </c>
      <c r="K38" s="47" t="n">
        <f aca="false">(J38-2451545)/36525</f>
        <v>0.229164955509925</v>
      </c>
      <c r="L38" s="31" t="n">
        <f aca="false">MOD(280.46061837+360.98564736629*(J38-2451545)+0.000387933*K38^2-K38^3/38710000+$E$4,360)</f>
        <v>355.575506431051</v>
      </c>
      <c r="M38" s="28" t="n">
        <f aca="false">0.606433+1336.855225*K38 - INT(0.606433+1336.855225*K38)</f>
        <v>0.966801160335365</v>
      </c>
      <c r="N38" s="31" t="n">
        <f aca="false">22640*SIN(O38)-4586*SIN(O38-2*Q38)+2370*SIN(2*Q38)+769*SIN(2*O38)-668*SIN(P38)-412*SIN(2*R38)-212*SIN(2*O38-2*Q38)-206*SIN(O38+P38-2*Q38)+192*SIN(O38+2*Q38)-165*SIN(P38-2*Q38)-125*SIN(Q38)-110*SIN(O38+P38)+148*SIN(O38-P38)-55*SIN(2*R38-2*Q38)</f>
        <v>21430.0023796472</v>
      </c>
      <c r="O38" s="29" t="n">
        <f aca="false">2*PI()*(0.374897+1325.55241*K38 - INT(0.374897+1325.55241*K38))</f>
        <v>0.911414128304631</v>
      </c>
      <c r="P38" s="32" t="n">
        <f aca="false">2*PI()*(0.993133+99.997361*K38 - INT(0.993133+99.997361*K38))</f>
        <v>5.71156488774598</v>
      </c>
      <c r="Q38" s="32" t="n">
        <f aca="false">2*PI()*(0.827361+1236.853086*K38 - INT(0.827361+1236.853086*K38))</f>
        <v>1.70113111313654</v>
      </c>
      <c r="R38" s="32" t="n">
        <f aca="false">2*PI()*(0.259086+1342.227825*K38 - INT(0.259086+1342.227825*K38))</f>
        <v>5.34489085781562</v>
      </c>
      <c r="S38" s="32" t="n">
        <f aca="false">R38+(N38+412*SIN(2*R38)+541*SIN(P38))/206264.8062</f>
        <v>5.44546272653989</v>
      </c>
      <c r="T38" s="32" t="n">
        <f aca="false">R38-2*Q38</f>
        <v>1.94262863154253</v>
      </c>
      <c r="U38" s="24" t="n">
        <f aca="false">-526*SIN(T38)+44*SIN(O38+T38)-31*SIN(-O38+T38)-23*SIN(P38+T38)+11*SIN(-P38+T38)-25*SIN(-2*O38+R38)+21*SIN(-O38+R38)</f>
        <v>-531.161997312137</v>
      </c>
      <c r="V38" s="32" t="n">
        <f aca="false">2*PI()*(M38+N38/1296000-INT(M38+N38/1296000))</f>
        <v>6.17848642898197</v>
      </c>
      <c r="W38" s="31" t="n">
        <f aca="false">V38/$E$6</f>
        <v>354.001196159522</v>
      </c>
      <c r="X38" s="32" t="n">
        <f aca="false">(18520*SIN(S38)+U38)/206264.8062</f>
        <v>-0.069298126931983</v>
      </c>
      <c r="Y38" s="32" t="n">
        <f aca="false">COS(X38)*COS(V38)</f>
        <v>0.992137065984634</v>
      </c>
      <c r="Z38" s="32" t="n">
        <f aca="false">COS(X38)*SIN(V38)</f>
        <v>-0.104256866064929</v>
      </c>
      <c r="AA38" s="32" t="n">
        <f aca="false">SIN(X38)</f>
        <v>-0.0692426759861422</v>
      </c>
      <c r="AB38" s="32" t="n">
        <f aca="false">COS($E$6*(23.4393-46.815*K38/3600))*Z38-SIN($E$6*(23.4393-46.815*K38/3600))*AA38</f>
        <v>-0.0681160946705561</v>
      </c>
      <c r="AC38" s="32" t="n">
        <f aca="false">SIN($E$6*(23.4393-46.815*K38/3600))*Z38+COS($E$6*(23.4393-46.815*K38/3600))*AA38</f>
        <v>-0.104996380633974</v>
      </c>
      <c r="AD38" s="32" t="n">
        <f aca="false">SQRT(1-AC38*AC38)</f>
        <v>0.994472603973466</v>
      </c>
      <c r="AE38" s="31" t="n">
        <f aca="false">ATAN(AC38/AD38)/$E$6</f>
        <v>-6.02695803308185</v>
      </c>
      <c r="AF38" s="32" t="n">
        <f aca="false">IF(24*ATAN(AB38/(Y38+AD38))/PI()&gt;0,24*ATAN(AB38/(Y38+AD38))/PI(),24*ATAN(AB38/(Y38+AD38))/PI()+24)</f>
        <v>23.7381645414714</v>
      </c>
      <c r="AG38" s="31" t="n">
        <f aca="false">IF(L38-15*AF38&gt;0,L38-15*AF38,360+L38-15*AF38)</f>
        <v>359.50303830898</v>
      </c>
      <c r="AH38" s="29" t="n">
        <f aca="false">0.950724+0.051818*COS(O38)+0.009531*COS(2*Q38-O38)+0.007843*COS(2*Q38)+0.002824*COS(2*O38)+0.000857*COS(2*Q38+O38)+0.000533*COS(2*Q38-P38)*(1-0.002495*(J38-2415020)/36525)+0.000401*COS(2*Q38-P38-O38)*(1-0.002495*(J38-2415020)/36525)+0.00032*COS(O38-P38)*(1-0.002495*(J38-2415020)/36525)-0.000271*COS(Q38)</f>
        <v>0.965577984067397</v>
      </c>
      <c r="AI38" s="32" t="n">
        <f aca="false">ASIN(COS($E$6*$E$2)*COS($E$6*AE38)*COS($E$6*AG38)+SIN($E$6*$E$2)*SIN($E$6*AE38))/$E$6</f>
        <v>33.9713807185043</v>
      </c>
      <c r="AJ38" s="29" t="n">
        <f aca="false">ASIN((0.9983271+0.0016764*COS($E$6*2*$E$2))*COS($E$6*AI38)*SIN($E$6*AH38))/$E$6</f>
        <v>0.79918540068234</v>
      </c>
      <c r="AK38" s="29" t="n">
        <f aca="false">AI38-AJ38</f>
        <v>33.172195317822</v>
      </c>
      <c r="AL38" s="31" t="n">
        <f aca="false"> MOD(280.4664567 + 360007.6982779*K38/10 + 0.03032028*K38^2/100 + K38^3/49931000,360)</f>
        <v>250.58128853195</v>
      </c>
      <c r="AM38" s="29" t="n">
        <f aca="false"> AL38 + (1.9146 - 0.004817*K38 - 0.000014*K38^2)*SIN(P38)+ (0.019993 - 0.000101*K38)*SIN(2*P38)+ 0.00029*SIN(3*P38)</f>
        <v>249.527636799824</v>
      </c>
      <c r="AN38" s="29" t="n">
        <f aca="false">ACOS(COS(V38-$E$6*AM38)*COS(X38))/$E$6</f>
        <v>104.438065134002</v>
      </c>
      <c r="AO38" s="24" t="n">
        <f aca="false">180 - AN38 -0.1468*(1-0.0549*SIN(P38))*SIN($E$6*AN38)/(1-0.0167*SIN($E$6*AM38))</f>
        <v>75.4178037542084</v>
      </c>
      <c r="AP38" s="48" t="n">
        <f aca="false">SIN($E$6*AG38)</f>
        <v>-0.00867350900990648</v>
      </c>
      <c r="AQ38" s="48" t="n">
        <f aca="false">COS($E$6*AG38)*SIN($E$6*$E$2) - TAN($E$6*AE38)*COS($E$6*$E$2)</f>
        <v>0.833881119891964</v>
      </c>
      <c r="AR38" s="48" t="n">
        <f aca="false">IF(OR(AND(AP38*AQ38&gt;0), AND(AP38&lt;0,AQ38&gt;0)), MOD(ATAN2(AQ38,AP38)/$E$6+360,360),  ATAN2(AQ38,AP38)/$E$6)</f>
        <v>359.404066685872</v>
      </c>
      <c r="AS38" s="20" t="n">
        <f aca="false"> 385000.56 + (-20905355*COS(O38) - 3699111*COS(2*Q38-O38) - 2955968*COS(2*Q38) - 569925*COS(2*O38) + (1-0.002516*K38)*48888*COS(P38) - 3149*COS(2*R38)  +246158*COS(2*Q38-2*O38) -(1-0.002516*K38)*152138*COS(2*Q38-P38-O38) -170733*COS(2*Q38+O38) -(1-0.002516*K38)*204586*COS(2*Q38-P38) -(1-0.002516*K38)*129620*COS(P38-O38)  + 108743*COS(Q38) +(1-0.002516*K38)*104755*COS(P38+O38) +10321*COS(2*Q38-2*R38) +79661*COS(O38-2*R38) -34782*COS(4*Q38-O38) -23210*COS(3*O38)  -21636*COS(4*Q38-2*O38) +(1-0.002516*K38)*24208*COS(2*Q38+P38-O38) +(1-0.002516*K38)*30824*COS(2*Q38+P38) -8379*COS(Q38-O38) -(1-0.002516*K38)*16675*COS(Q38+P38)  -(1-0.002516*K38)*12831*COS(2*Q38-P38+O38) -10445*COS(2*Q38+2*O38) -11650*COS(4*Q38) +14403*COS(2*Q38-3*O38) -(1-0.002516*K38)*7003*COS(P38-2*O38)  + (1-0.002516*K38)*10056*COS(2*Q38-P38-2*O38) +6322*COS(Q38+O38) -(1-0.002516*K38)*(1-0.002516*K38)*9884*COS(2*Q38-2*P38) +(1-0.002516*K38)*5751*COS(P38+2*O38) -(1-0.002516*K38)*(1-0.002516*K38)*4950*COS(2*Q38-2*P38-O38)  +4130*COS(2*Q38+O38-2*R38) -(1-0.002516*K38)*3958*COS(4*Q38-P38-O38) +3258*COS(3*Q38-O38) +(1-0.002516*K38)*2616*COS(2*Q38+P38+O38) -(1-0.002516*K38)*1897*COS(4*Q38-P38-2*O38)  -(1-0.002516*K38)*(1-0.002516*K38)*2117*COS(2*P38-O38) +(1-0.002516*K38)*(1-0.002516*K38)*2354*COS(2*Q38+2*P38-O38) -1423*COS(4*Q38+O38) -1117*COS(4*O38) -(1-0.002516*K38)*1571*COS(4*Q38-P38)  -1739*COS(Q38-2*O38) -4421*COS(2*O38-2*R38) +(1-0.002516*K38)*(1-0.002516*K38)*1165*COS(2*P38+O38) +8752*COS(2*Q38-O38-2*R38))/1000</f>
        <v>378459.567563739</v>
      </c>
      <c r="AT38" s="24" t="n">
        <f aca="false">60*ATAN(3476/AS38)/$E$6</f>
        <v>31.5734435215743</v>
      </c>
      <c r="AU38" s="28" t="n">
        <f aca="false">ATAN(0.99664719*TAN($E$6*input!$D$2))</f>
        <v>0.871010436227447</v>
      </c>
      <c r="AV38" s="28" t="n">
        <f aca="false">COS(AU38)</f>
        <v>0.644053912545846</v>
      </c>
      <c r="AW38" s="28" t="n">
        <f aca="false">0.99664719*SIN(AU38)</f>
        <v>0.762415269897027</v>
      </c>
      <c r="AX38" s="28" t="n">
        <f aca="false">6378.14/AS38</f>
        <v>0.0168528967071914</v>
      </c>
      <c r="AY38" s="31" t="n">
        <f aca="false">L38-15*AF38</f>
        <v>-0.496961691020488</v>
      </c>
      <c r="AZ38" s="29" t="n">
        <f aca="false">COS($E$6*AE38)*SIN($E$6*AY38)</f>
        <v>-0.00862556709066894</v>
      </c>
      <c r="BA38" s="29" t="n">
        <f aca="false">COS($E$6*AE38)*COS($E$6*AY38)-AV38*AX38</f>
        <v>0.983581022240974</v>
      </c>
      <c r="BB38" s="29" t="n">
        <f aca="false">SIN($E$6*AE38)-AW38*AX38</f>
        <v>-0.117845286425534</v>
      </c>
      <c r="BC38" s="45" t="n">
        <f aca="false">SQRT(AZ38^2+BA38^2+BB38^2)</f>
        <v>0.99065308723738</v>
      </c>
      <c r="BD38" s="20" t="n">
        <f aca="false">AS38*BC38</f>
        <v>374922.139001541</v>
      </c>
      <c r="BE38" s="30" t="str">
        <f aca="false">IF(OR(AND(BD38&gt;BD37,BD38&gt;BD39),AND(BD38&lt;BD37,BD38&lt;BD39)),BD38,"")</f>
        <v/>
      </c>
    </row>
    <row r="39" customFormat="false" ht="15" hidden="false" customHeight="false" outlineLevel="0" collapsed="false">
      <c r="A39" s="31" t="n">
        <v>18.5</v>
      </c>
      <c r="B39" s="30" t="n">
        <f aca="false">$B$2</f>
        <v>1</v>
      </c>
      <c r="C39" s="30" t="n">
        <f aca="false">C38</f>
        <v>12</v>
      </c>
      <c r="D39" s="30" t="n">
        <f aca="false">$D$2</f>
        <v>2022</v>
      </c>
      <c r="F39" s="38" t="n">
        <f aca="false">AK39</f>
        <v>32.9916388749605</v>
      </c>
      <c r="G39" s="39" t="n">
        <f aca="false">F39+1.02/(TAN($E$6*(F39+10.3/(F39+5.11)))*60)</f>
        <v>33.0175563754541</v>
      </c>
      <c r="H39" s="38" t="n">
        <f aca="false">100*(1+COS($E$6*AO39))/2</f>
        <v>62.8080363198384</v>
      </c>
      <c r="I39" s="38" t="n">
        <f aca="false">IF(AG39&gt;180, AR39-180,AR39+180)</f>
        <v>188.112449192064</v>
      </c>
      <c r="J39" s="31" t="n">
        <f aca="false">INT(365.25*IF(C39&gt;2,D39+4716,D39-1+4716))+INT(30.6001*IF(C39&gt;2,C39+1,C39+12+1))+B39+A39/24+2-INT(IF(C39&gt;2,D39,D39-1)/100)+INT(INT(IF(C39&gt;2,D39,D39-1)/100)/4)-1524.5</f>
        <v>2459915.27083333</v>
      </c>
      <c r="K39" s="47" t="n">
        <f aca="false">(J39-2451545)/36525</f>
        <v>0.22916552589551</v>
      </c>
      <c r="L39" s="31" t="n">
        <f aca="false">MOD(280.46061837+360.98564736629*(J39-2451545)+0.000387933*K39^2-K39^3/38710000+$E$4,360)</f>
        <v>3.09604080766439</v>
      </c>
      <c r="M39" s="28" t="n">
        <f aca="false">0.606433+1336.855225*K39 - INT(0.606433+1336.855225*K39)</f>
        <v>0.967563683284823</v>
      </c>
      <c r="N39" s="31" t="n">
        <f aca="false">22640*SIN(O39)-4586*SIN(O39-2*Q39)+2370*SIN(2*Q39)+769*SIN(2*O39)-668*SIN(P39)-412*SIN(2*R39)-212*SIN(2*O39-2*Q39)-206*SIN(O39+P39-2*Q39)+192*SIN(O39+2*Q39)-165*SIN(P39-2*Q39)-125*SIN(Q39)-110*SIN(O39+P39)+148*SIN(O39-P39)-55*SIN(2*R39-2*Q39)</f>
        <v>21456.3617311301</v>
      </c>
      <c r="O39" s="29" t="n">
        <f aca="false">2*PI()*(0.374897+1325.55241*K39 - INT(0.374897+1325.55241*K39))</f>
        <v>0.916164693835468</v>
      </c>
      <c r="P39" s="32" t="n">
        <f aca="false">2*PI()*(0.993133+99.997361*K39 - INT(0.993133+99.997361*K39))</f>
        <v>5.7119232621209</v>
      </c>
      <c r="Q39" s="32" t="n">
        <f aca="false">2*PI()*(0.827361+1236.853086*K39 - INT(0.827361+1236.853086*K39))</f>
        <v>1.70556379463052</v>
      </c>
      <c r="R39" s="32" t="n">
        <f aca="false">2*PI()*(0.259086+1342.227825*K39 - INT(0.259086+1342.227825*K39))</f>
        <v>5.34970118533757</v>
      </c>
      <c r="S39" s="32" t="n">
        <f aca="false">R39+(N39+412*SIN(2*R39)+541*SIN(P39))/206264.8062</f>
        <v>5.4503959415214</v>
      </c>
      <c r="T39" s="32" t="n">
        <f aca="false">R39-2*Q39</f>
        <v>1.93857359607653</v>
      </c>
      <c r="U39" s="24" t="n">
        <f aca="false">-526*SIN(T39)+44*SIN(O39+T39)-31*SIN(-O39+T39)-23*SIN(P39+T39)+11*SIN(-P39+T39)-25*SIN(-2*O39+R39)+21*SIN(-O39+R39)</f>
        <v>-531.874051577628</v>
      </c>
      <c r="V39" s="32" t="n">
        <f aca="false">2*PI()*(M39+N39/1296000-INT(M39+N39/1296000))</f>
        <v>6.18340529571663</v>
      </c>
      <c r="W39" s="31" t="n">
        <f aca="false">V39/$E$6</f>
        <v>354.283026463406</v>
      </c>
      <c r="X39" s="32" t="n">
        <f aca="false">(18520*SIN(S39)+U39)/206264.8062</f>
        <v>-0.0690043713083084</v>
      </c>
      <c r="Y39" s="32" t="n">
        <f aca="false">COS(X39)*COS(V39)</f>
        <v>0.992658083494512</v>
      </c>
      <c r="Z39" s="32" t="n">
        <f aca="false">COS(X39)*SIN(V39)</f>
        <v>-0.099377456390571</v>
      </c>
      <c r="AA39" s="32" t="n">
        <f aca="false">SIN(X39)</f>
        <v>-0.0689496224379954</v>
      </c>
      <c r="AB39" s="32" t="n">
        <f aca="false">COS($E$6*(23.4393-46.815*K39/3600))*Z39-SIN($E$6*(23.4393-46.815*K39/3600))*AA39</f>
        <v>-0.0637557792530077</v>
      </c>
      <c r="AC39" s="32" t="n">
        <f aca="false">SIN($E$6*(23.4393-46.815*K39/3600))*Z39+COS($E$6*(23.4393-46.815*K39/3600))*AA39</f>
        <v>-0.102786817660845</v>
      </c>
      <c r="AD39" s="32" t="n">
        <f aca="false">SQRT(1-AC39*AC39)</f>
        <v>0.994703408114779</v>
      </c>
      <c r="AE39" s="31" t="n">
        <f aca="false">ATAN(AC39/AD39)/$E$6</f>
        <v>-5.8996705732583</v>
      </c>
      <c r="AF39" s="32" t="n">
        <f aca="false">IF(24*ATAN(AB39/(Y39+AD39))/PI()&gt;0,24*ATAN(AB39/(Y39+AD39))/PI(),24*ATAN(AB39/(Y39+AD39))/PI()+24)</f>
        <v>23.7550061761082</v>
      </c>
      <c r="AG39" s="31" t="n">
        <f aca="false">IF(L39-15*AF39&gt;0,L39-15*AF39,360+L39-15*AF39)</f>
        <v>6.77094816604114</v>
      </c>
      <c r="AH39" s="29" t="n">
        <f aca="false">0.950724+0.051818*COS(O39)+0.009531*COS(2*Q39-O39)+0.007843*COS(2*Q39)+0.002824*COS(2*O39)+0.000857*COS(2*Q39+O39)+0.000533*COS(2*Q39-P39)*(1-0.002495*(J39-2415020)/36525)+0.000401*COS(2*Q39-P39-O39)*(1-0.002495*(J39-2415020)/36525)+0.00032*COS(O39-P39)*(1-0.002495*(J39-2415020)/36525)-0.000271*COS(Q39)</f>
        <v>0.965365456519746</v>
      </c>
      <c r="AI39" s="32" t="n">
        <f aca="false">ASIN(COS($E$6*$E$2)*COS($E$6*AE39)*COS($E$6*AG39)+SIN($E$6*$E$2)*SIN($E$6*AE39))/$E$6</f>
        <v>33.7923269927632</v>
      </c>
      <c r="AJ39" s="29" t="n">
        <f aca="false">ASIN((0.9983271+0.0016764*COS($E$6*2*$E$2))*COS($E$6*AI39)*SIN($E$6*AH39))/$E$6</f>
        <v>0.800688117802749</v>
      </c>
      <c r="AK39" s="29" t="n">
        <f aca="false">AI39-AJ39</f>
        <v>32.9916388749605</v>
      </c>
      <c r="AL39" s="31" t="n">
        <f aca="false"> MOD(280.4664567 + 360007.6982779*K39/10 + 0.03032028*K39^2/100 + K39^3/49931000,360)</f>
        <v>250.601822852186</v>
      </c>
      <c r="AM39" s="29" t="n">
        <f aca="false"> AL39 + (1.9146 - 0.004817*K39 - 0.000014*K39^2)*SIN(P39)+ (0.019993 - 0.000101*K39)*SIN(2*P39)+ 0.00029*SIN(3*P39)</f>
        <v>249.548753814408</v>
      </c>
      <c r="AN39" s="29" t="n">
        <f aca="false">ACOS(COS(V39-$E$6*AM39)*COS(X39))/$E$6</f>
        <v>104.698416140296</v>
      </c>
      <c r="AO39" s="24" t="n">
        <f aca="false">180 - AN39 -0.1468*(1-0.0549*SIN(P39))*SIN($E$6*AN39)/(1-0.0167*SIN($E$6*AM39))</f>
        <v>75.1576254750956</v>
      </c>
      <c r="AP39" s="48" t="n">
        <f aca="false">SIN($E$6*AG39)</f>
        <v>0.117900469791143</v>
      </c>
      <c r="AQ39" s="48" t="n">
        <f aca="false">COS($E$6*AG39)*SIN($E$6*$E$2) - TAN($E$6*AE39)*COS($E$6*$E$2)</f>
        <v>0.827123505270331</v>
      </c>
      <c r="AR39" s="48" t="n">
        <f aca="false">IF(OR(AND(AP39*AQ39&gt;0), AND(AP39&lt;0,AQ39&gt;0)), MOD(ATAN2(AQ39,AP39)/$E$6+360,360),  ATAN2(AQ39,AP39)/$E$6)</f>
        <v>8.11244919206445</v>
      </c>
      <c r="AS39" s="20" t="n">
        <f aca="false"> 385000.56 + (-20905355*COS(O39) - 3699111*COS(2*Q39-O39) - 2955968*COS(2*Q39) - 569925*COS(2*O39) + (1-0.002516*K39)*48888*COS(P39) - 3149*COS(2*R39)  +246158*COS(2*Q39-2*O39) -(1-0.002516*K39)*152138*COS(2*Q39-P39-O39) -170733*COS(2*Q39+O39) -(1-0.002516*K39)*204586*COS(2*Q39-P39) -(1-0.002516*K39)*129620*COS(P39-O39)  + 108743*COS(Q39) +(1-0.002516*K39)*104755*COS(P39+O39) +10321*COS(2*Q39-2*R39) +79661*COS(O39-2*R39) -34782*COS(4*Q39-O39) -23210*COS(3*O39)  -21636*COS(4*Q39-2*O39) +(1-0.002516*K39)*24208*COS(2*Q39+P39-O39) +(1-0.002516*K39)*30824*COS(2*Q39+P39) -8379*COS(Q39-O39) -(1-0.002516*K39)*16675*COS(Q39+P39)  -(1-0.002516*K39)*12831*COS(2*Q39-P39+O39) -10445*COS(2*Q39+2*O39) -11650*COS(4*Q39) +14403*COS(2*Q39-3*O39) -(1-0.002516*K39)*7003*COS(P39-2*O39)  + (1-0.002516*K39)*10056*COS(2*Q39-P39-2*O39) +6322*COS(Q39+O39) -(1-0.002516*K39)*(1-0.002516*K39)*9884*COS(2*Q39-2*P39) +(1-0.002516*K39)*5751*COS(P39+2*O39) -(1-0.002516*K39)*(1-0.002516*K39)*4950*COS(2*Q39-2*P39-O39)  +4130*COS(2*Q39+O39-2*R39) -(1-0.002516*K39)*3958*COS(4*Q39-P39-O39) +3258*COS(3*Q39-O39) +(1-0.002516*K39)*2616*COS(2*Q39+P39+O39) -(1-0.002516*K39)*1897*COS(4*Q39-P39-2*O39)  -(1-0.002516*K39)*(1-0.002516*K39)*2117*COS(2*P39-O39) +(1-0.002516*K39)*(1-0.002516*K39)*2354*COS(2*Q39+2*P39-O39) -1423*COS(4*Q39+O39) -1117*COS(4*O39) -(1-0.002516*K39)*1571*COS(4*Q39-P39)  -1739*COS(Q39-2*O39) -4421*COS(2*O39-2*R39) +(1-0.002516*K39)*(1-0.002516*K39)*1165*COS(2*P39+O39) +8752*COS(2*Q39-O39-2*R39))/1000</f>
        <v>378541.969147308</v>
      </c>
      <c r="AT39" s="24" t="n">
        <f aca="false">60*ATAN(3476/AS39)/$E$6</f>
        <v>31.5665709534019</v>
      </c>
      <c r="AU39" s="28" t="n">
        <f aca="false">ATAN(0.99664719*TAN($E$6*input!$D$2))</f>
        <v>0.871010436227447</v>
      </c>
      <c r="AV39" s="28" t="n">
        <f aca="false">COS(AU39)</f>
        <v>0.644053912545846</v>
      </c>
      <c r="AW39" s="28" t="n">
        <f aca="false">0.99664719*SIN(AU39)</f>
        <v>0.762415269897027</v>
      </c>
      <c r="AX39" s="28" t="n">
        <f aca="false">6378.14/AS39</f>
        <v>0.0168492281433607</v>
      </c>
      <c r="AY39" s="31" t="n">
        <f aca="false">L39-15*AF39</f>
        <v>-353.229051833959</v>
      </c>
      <c r="AZ39" s="29" t="n">
        <f aca="false">COS($E$6*AE39)*SIN($E$6*AY39)</f>
        <v>0.117275999119583</v>
      </c>
      <c r="BA39" s="29" t="n">
        <f aca="false">COS($E$6*AE39)*COS($E$6*AY39)-AV39*AX39</f>
        <v>0.976913955533243</v>
      </c>
      <c r="BB39" s="29" t="n">
        <f aca="false">SIN($E$6*AE39)-AW39*AX39</f>
        <v>-0.115632926483322</v>
      </c>
      <c r="BC39" s="45" t="n">
        <f aca="false">SQRT(AZ39^2+BA39^2+BB39^2)</f>
        <v>0.990699505487007</v>
      </c>
      <c r="BD39" s="20" t="n">
        <f aca="false">AS39*BC39</f>
        <v>375021.341640316</v>
      </c>
      <c r="BE39" s="30" t="str">
        <f aca="false">IF(OR(AND(BD39&gt;BD38,BD39&gt;BD40),AND(BD39&lt;BD38,BD39&lt;BD40)),BD39,"")</f>
        <v/>
      </c>
    </row>
    <row r="40" customFormat="false" ht="15" hidden="false" customHeight="false" outlineLevel="0" collapsed="false">
      <c r="A40" s="31" t="n">
        <v>19</v>
      </c>
      <c r="B40" s="30" t="n">
        <f aca="false">$B$2</f>
        <v>1</v>
      </c>
      <c r="C40" s="30" t="n">
        <f aca="false">C39</f>
        <v>12</v>
      </c>
      <c r="D40" s="30" t="n">
        <f aca="false">$D$2</f>
        <v>2022</v>
      </c>
      <c r="F40" s="38" t="n">
        <f aca="false">AK40</f>
        <v>32.105428413048</v>
      </c>
      <c r="G40" s="39" t="n">
        <f aca="false">F40+1.02/(TAN($E$6*(F40+10.3/(F40+5.11)))*60)</f>
        <v>32.1322345353913</v>
      </c>
      <c r="H40" s="38" t="n">
        <f aca="false">100*(1+COS($E$6*AO40))/2</f>
        <v>63.0272738418368</v>
      </c>
      <c r="I40" s="38" t="n">
        <f aca="false">IF(AG40&gt;180, AR40-180,AR40+180)</f>
        <v>196.708429822172</v>
      </c>
      <c r="J40" s="31" t="n">
        <f aca="false">INT(365.25*IF(C40&gt;2,D40+4716,D40-1+4716))+INT(30.6001*IF(C40&gt;2,C40+1,C40+12+1))+B40+A40/24+2-INT(IF(C40&gt;2,D40,D40-1)/100)+INT(INT(IF(C40&gt;2,D40,D40-1)/100)/4)-1524.5</f>
        <v>2459915.29166667</v>
      </c>
      <c r="K40" s="47" t="n">
        <f aca="false">(J40-2451545)/36525</f>
        <v>0.229166096281082</v>
      </c>
      <c r="L40" s="31" t="n">
        <f aca="false">MOD(280.46061837+360.98564736629*(J40-2451545)+0.000387933*K40^2-K40^3/38710000+$E$4,360)</f>
        <v>10.6165750157088</v>
      </c>
      <c r="M40" s="28" t="n">
        <f aca="false">0.606433+1336.855225*K40 - INT(0.606433+1336.855225*K40)</f>
        <v>0.968326206217171</v>
      </c>
      <c r="N40" s="31" t="n">
        <f aca="false">22640*SIN(O40)-4586*SIN(O40-2*Q40)+2370*SIN(2*Q40)+769*SIN(2*O40)-668*SIN(P40)-412*SIN(2*R40)-212*SIN(2*O40-2*Q40)-206*SIN(O40+P40-2*Q40)+192*SIN(O40+2*Q40)-165*SIN(P40-2*Q40)-125*SIN(Q40)-110*SIN(O40+P40)+148*SIN(O40-P40)-55*SIN(2*R40-2*Q40)</f>
        <v>21482.2571784785</v>
      </c>
      <c r="O40" s="29" t="n">
        <f aca="false">2*PI()*(0.374897+1325.55241*K40 - INT(0.374897+1325.55241*K40))</f>
        <v>0.920915259259872</v>
      </c>
      <c r="P40" s="32" t="n">
        <f aca="false">2*PI()*(0.993133+99.997361*K40 - INT(0.993133+99.997361*K40))</f>
        <v>5.71228163648776</v>
      </c>
      <c r="Q40" s="32" t="n">
        <f aca="false">2*PI()*(0.827361+1236.853086*K40 - INT(0.827361+1236.853086*K40))</f>
        <v>1.70999647602521</v>
      </c>
      <c r="R40" s="32" t="n">
        <f aca="false">2*PI()*(0.259086+1342.227825*K40 - INT(0.259086+1342.227825*K40))</f>
        <v>5.35451151275201</v>
      </c>
      <c r="S40" s="32" t="n">
        <f aca="false">R40+(N40+412*SIN(2*R40)+541*SIN(P40))/206264.8062</f>
        <v>5.45532708433255</v>
      </c>
      <c r="T40" s="32" t="n">
        <f aca="false">R40-2*Q40</f>
        <v>1.9345185607016</v>
      </c>
      <c r="U40" s="24" t="n">
        <f aca="false">-526*SIN(T40)+44*SIN(O40+T40)-31*SIN(-O40+T40)-23*SIN(P40+T40)+11*SIN(-P40+T40)-25*SIN(-2*O40+R40)+21*SIN(-O40+R40)</f>
        <v>-532.576010365409</v>
      </c>
      <c r="V40" s="32" t="n">
        <f aca="false">2*PI()*(M40+N40/1296000-INT(M40+N40/1296000))</f>
        <v>6.18832191327308</v>
      </c>
      <c r="W40" s="31" t="n">
        <f aca="false">V40/$E$6</f>
        <v>354.56472789887</v>
      </c>
      <c r="X40" s="32" t="n">
        <f aca="false">(18520*SIN(S40)+U40)/206264.8062</f>
        <v>-0.0687090760234258</v>
      </c>
      <c r="Y40" s="32" t="n">
        <f aca="false">COS(X40)*COS(V40)</f>
        <v>0.993154910325184</v>
      </c>
      <c r="Z40" s="32" t="n">
        <f aca="false">COS(X40)*SIN(V40)</f>
        <v>-0.0944976792133946</v>
      </c>
      <c r="AA40" s="32" t="n">
        <f aca="false">SIN(X40)</f>
        <v>-0.0686550269117881</v>
      </c>
      <c r="AB40" s="32" t="n">
        <f aca="false">COS($E$6*(23.4393-46.815*K40/3600))*Z40-SIN($E$6*(23.4393-46.815*K40/3600))*AA40</f>
        <v>-0.0593957399403449</v>
      </c>
      <c r="AC40" s="32" t="n">
        <f aca="false">SIN($E$6*(23.4393-46.815*K40/3600))*Z40+COS($E$6*(23.4393-46.815*K40/3600))*AA40</f>
        <v>-0.100575693753088</v>
      </c>
      <c r="AD40" s="32" t="n">
        <f aca="false">SQRT(1-AC40*AC40)</f>
        <v>0.994929409468875</v>
      </c>
      <c r="AE40" s="31" t="n">
        <f aca="false">ATAN(AC40/AD40)/$E$6</f>
        <v>-5.77232243683785</v>
      </c>
      <c r="AF40" s="32" t="n">
        <f aca="false">IF(24*ATAN(AB40/(Y40+AD40))/PI()&gt;0,24*ATAN(AB40/(Y40+AD40))/PI(),24*ATAN(AB40/(Y40+AD40))/PI()+24)</f>
        <v>23.7718330675407</v>
      </c>
      <c r="AG40" s="31" t="n">
        <f aca="false">IF(L40-15*AF40&gt;0,L40-15*AF40,360+L40-15*AF40)</f>
        <v>14.0390790025976</v>
      </c>
      <c r="AH40" s="29" t="n">
        <f aca="false">0.950724+0.051818*COS(O40)+0.009531*COS(2*Q40-O40)+0.007843*COS(2*Q40)+0.002824*COS(2*O40)+0.000857*COS(2*Q40+O40)+0.000533*COS(2*Q40-P40)*(1-0.002495*(J40-2415020)/36525)+0.000401*COS(2*Q40-P40-O40)*(1-0.002495*(J40-2415020)/36525)+0.00032*COS(O40-P40)*(1-0.002495*(J40-2415020)/36525)-0.000271*COS(Q40)</f>
        <v>0.965153095547515</v>
      </c>
      <c r="AI40" s="32" t="n">
        <f aca="false">ASIN(COS($E$6*$E$2)*COS($E$6*AE40)*COS($E$6*AG40)+SIN($E$6*$E$2)*SIN($E$6*AE40))/$E$6</f>
        <v>32.9140587655755</v>
      </c>
      <c r="AJ40" s="29" t="n">
        <f aca="false">ASIN((0.9983271+0.0016764*COS($E$6*2*$E$2))*COS($E$6*AI40)*SIN($E$6*AH40))/$E$6</f>
        <v>0.808630352527585</v>
      </c>
      <c r="AK40" s="29" t="n">
        <f aca="false">AI40-AJ40</f>
        <v>32.105428413048</v>
      </c>
      <c r="AL40" s="31" t="n">
        <f aca="false"> MOD(280.4664567 + 360007.6982779*K40/10 + 0.03032028*K40^2/100 + K40^3/49931000,360)</f>
        <v>250.622357171958</v>
      </c>
      <c r="AM40" s="29" t="n">
        <f aca="false"> AL40 + (1.9146 - 0.004817*K40 - 0.000014*K40^2)*SIN(P40)+ (0.019993 - 0.000101*K40)*SIN(2*P40)+ 0.00029*SIN(3*P40)</f>
        <v>249.569870971055</v>
      </c>
      <c r="AN40" s="29" t="n">
        <f aca="false">ACOS(COS(V40-$E$6*AM40)*COS(X40))/$E$6</f>
        <v>104.958648492588</v>
      </c>
      <c r="AO40" s="24" t="n">
        <f aca="false">180 - AN40 -0.1468*(1-0.0549*SIN(P40))*SIN($E$6*AN40)/(1-0.0167*SIN($E$6*AM40))</f>
        <v>74.8975687368249</v>
      </c>
      <c r="AP40" s="48" t="n">
        <f aca="false">SIN($E$6*AG40)</f>
        <v>0.242583636525136</v>
      </c>
      <c r="AQ40" s="48" t="n">
        <f aca="false">COS($E$6*AG40)*SIN($E$6*$E$2) - TAN($E$6*AE40)*COS($E$6*$E$2)</f>
        <v>0.808141363641704</v>
      </c>
      <c r="AR40" s="48" t="n">
        <f aca="false">IF(OR(AND(AP40*AQ40&gt;0), AND(AP40&lt;0,AQ40&gt;0)), MOD(ATAN2(AQ40,AP40)/$E$6+360,360),  ATAN2(AQ40,AP40)/$E$6)</f>
        <v>16.7084298221721</v>
      </c>
      <c r="AS40" s="20" t="n">
        <f aca="false"> 385000.56 + (-20905355*COS(O40) - 3699111*COS(2*Q40-O40) - 2955968*COS(2*Q40) - 569925*COS(2*O40) + (1-0.002516*K40)*48888*COS(P40) - 3149*COS(2*R40)  +246158*COS(2*Q40-2*O40) -(1-0.002516*K40)*152138*COS(2*Q40-P40-O40) -170733*COS(2*Q40+O40) -(1-0.002516*K40)*204586*COS(2*Q40-P40) -(1-0.002516*K40)*129620*COS(P40-O40)  + 108743*COS(Q40) +(1-0.002516*K40)*104755*COS(P40+O40) +10321*COS(2*Q40-2*R40) +79661*COS(O40-2*R40) -34782*COS(4*Q40-O40) -23210*COS(3*O40)  -21636*COS(4*Q40-2*O40) +(1-0.002516*K40)*24208*COS(2*Q40+P40-O40) +(1-0.002516*K40)*30824*COS(2*Q40+P40) -8379*COS(Q40-O40) -(1-0.002516*K40)*16675*COS(Q40+P40)  -(1-0.002516*K40)*12831*COS(2*Q40-P40+O40) -10445*COS(2*Q40+2*O40) -11650*COS(4*Q40) +14403*COS(2*Q40-3*O40) -(1-0.002516*K40)*7003*COS(P40-2*O40)  + (1-0.002516*K40)*10056*COS(2*Q40-P40-2*O40) +6322*COS(Q40+O40) -(1-0.002516*K40)*(1-0.002516*K40)*9884*COS(2*Q40-2*P40) +(1-0.002516*K40)*5751*COS(P40+2*O40) -(1-0.002516*K40)*(1-0.002516*K40)*4950*COS(2*Q40-2*P40-O40)  +4130*COS(2*Q40+O40-2*R40) -(1-0.002516*K40)*3958*COS(4*Q40-P40-O40) +3258*COS(3*Q40-O40) +(1-0.002516*K40)*2616*COS(2*Q40+P40+O40) -(1-0.002516*K40)*1897*COS(4*Q40-P40-2*O40)  -(1-0.002516*K40)*(1-0.002516*K40)*2117*COS(2*P40-O40) +(1-0.002516*K40)*(1-0.002516*K40)*2354*COS(2*Q40+2*P40-O40) -1423*COS(4*Q40+O40) -1117*COS(4*O40) -(1-0.002516*K40)*1571*COS(4*Q40-P40)  -1739*COS(Q40-2*O40) -4421*COS(2*O40-2*R40) +(1-0.002516*K40)*(1-0.002516*K40)*1165*COS(2*P40+O40) +8752*COS(2*Q40-O40-2*R40))/1000</f>
        <v>378624.356710569</v>
      </c>
      <c r="AT40" s="24" t="n">
        <f aca="false">60*ATAN(3476/AS40)/$E$6</f>
        <v>31.5597025449656</v>
      </c>
      <c r="AU40" s="28" t="n">
        <f aca="false">ATAN(0.99664719*TAN($E$6*input!$D$2))</f>
        <v>0.871010436227447</v>
      </c>
      <c r="AV40" s="28" t="n">
        <f aca="false">COS(AU40)</f>
        <v>0.644053912545846</v>
      </c>
      <c r="AW40" s="28" t="n">
        <f aca="false">0.99664719*SIN(AU40)</f>
        <v>0.762415269897027</v>
      </c>
      <c r="AX40" s="28" t="n">
        <f aca="false">6378.14/AS40</f>
        <v>0.0168455618001238</v>
      </c>
      <c r="AY40" s="31" t="n">
        <f aca="false">L40-15*AF40</f>
        <v>-345.960920997402</v>
      </c>
      <c r="AZ40" s="29" t="n">
        <f aca="false">COS($E$6*AE40)*SIN($E$6*AY40)</f>
        <v>0.241353594234766</v>
      </c>
      <c r="BA40" s="29" t="n">
        <f aca="false">COS($E$6*AE40)*COS($E$6*AY40)-AV40*AX40</f>
        <v>0.954361911517411</v>
      </c>
      <c r="BB40" s="29" t="n">
        <f aca="false">SIN($E$6*AE40)-AW40*AX40</f>
        <v>-0.113419007299496</v>
      </c>
      <c r="BC40" s="45" t="n">
        <f aca="false">SQRT(AZ40^2+BA40^2+BB40^2)</f>
        <v>0.990919818563545</v>
      </c>
      <c r="BD40" s="20" t="n">
        <f aca="false">AS40*BC40</f>
        <v>375186.378855376</v>
      </c>
      <c r="BE40" s="30" t="str">
        <f aca="false">IF(OR(AND(BD40&gt;BD39,BD40&gt;BD41),AND(BD40&lt;BD39,BD40&lt;BD41)),BD40,"")</f>
        <v/>
      </c>
    </row>
    <row r="41" customFormat="false" ht="15" hidden="false" customHeight="false" outlineLevel="0" collapsed="false">
      <c r="A41" s="31" t="n">
        <v>19.5</v>
      </c>
      <c r="B41" s="30" t="n">
        <f aca="false">$B$2</f>
        <v>1</v>
      </c>
      <c r="C41" s="30" t="n">
        <f aca="false">C40</f>
        <v>12</v>
      </c>
      <c r="D41" s="30" t="n">
        <f aca="false">$D$2</f>
        <v>2022</v>
      </c>
      <c r="F41" s="38" t="n">
        <f aca="false">AK41</f>
        <v>30.5499136414667</v>
      </c>
      <c r="G41" s="39" t="n">
        <f aca="false">F41+1.02/(TAN($E$6*(F41+10.3/(F41+5.11)))*60)</f>
        <v>30.5783876010587</v>
      </c>
      <c r="H41" s="38" t="n">
        <f aca="false">100*(1+COS($E$6*AO41))/2</f>
        <v>63.2461408839675</v>
      </c>
      <c r="I41" s="38" t="n">
        <f aca="false">IF(AG41&gt;180, AR41-180,AR41+180)</f>
        <v>205.057527985008</v>
      </c>
      <c r="J41" s="31" t="n">
        <f aca="false">INT(365.25*IF(C41&gt;2,D41+4716,D41-1+4716))+INT(30.6001*IF(C41&gt;2,C41+1,C41+12+1))+B41+A41/24+2-INT(IF(C41&gt;2,D41,D41-1)/100)+INT(INT(IF(C41&gt;2,D41,D41-1)/100)/4)-1524.5</f>
        <v>2459915.3125</v>
      </c>
      <c r="K41" s="47" t="n">
        <f aca="false">(J41-2451545)/36525</f>
        <v>0.229166666666667</v>
      </c>
      <c r="L41" s="31" t="n">
        <f aca="false">MOD(280.46061837+360.98564736629*(J41-2451545)+0.000387933*K41^2-K41^3/38710000+$E$4,360)</f>
        <v>18.1371093918569</v>
      </c>
      <c r="M41" s="28" t="n">
        <f aca="false">0.606433+1336.855225*K41 - INT(0.606433+1336.855225*K41)</f>
        <v>0.969088729166629</v>
      </c>
      <c r="N41" s="31" t="n">
        <f aca="false">22640*SIN(O41)-4586*SIN(O41-2*Q41)+2370*SIN(2*Q41)+769*SIN(2*O41)-668*SIN(P41)-412*SIN(2*R41)-212*SIN(2*O41-2*Q41)-206*SIN(O41+P41-2*Q41)+192*SIN(O41+2*Q41)-165*SIN(P41-2*Q41)-125*SIN(Q41)-110*SIN(O41+P41)+148*SIN(O41-P41)-55*SIN(2*R41-2*Q41)</f>
        <v>21507.6894315169</v>
      </c>
      <c r="O41" s="29" t="n">
        <f aca="false">2*PI()*(0.374897+1325.55241*K41 - INT(0.374897+1325.55241*K41))</f>
        <v>0.925665824790352</v>
      </c>
      <c r="P41" s="32" t="n">
        <f aca="false">2*PI()*(0.993133+99.997361*K41 - INT(0.993133+99.997361*K41))</f>
        <v>5.71264001086266</v>
      </c>
      <c r="Q41" s="32" t="n">
        <f aca="false">2*PI()*(0.827361+1236.853086*K41 - INT(0.827361+1236.853086*K41))</f>
        <v>1.71442915751882</v>
      </c>
      <c r="R41" s="32" t="n">
        <f aca="false">2*PI()*(0.259086+1342.227825*K41 - INT(0.259086+1342.227825*K41))</f>
        <v>5.35932184027432</v>
      </c>
      <c r="S41" s="32" t="n">
        <f aca="false">R41+(N41+412*SIN(2*R41)+541*SIN(P41))/206264.8062</f>
        <v>5.46025615914064</v>
      </c>
      <c r="T41" s="32" t="n">
        <f aca="false">R41-2*Q41</f>
        <v>1.93046352523667</v>
      </c>
      <c r="U41" s="24" t="n">
        <f aca="false">-526*SIN(T41)+44*SIN(O41+T41)-31*SIN(-O41+T41)-23*SIN(P41+T41)+11*SIN(-P41+T41)-25*SIN(-2*O41+R41)+21*SIN(-O41+R41)</f>
        <v>-533.267870858553</v>
      </c>
      <c r="V41" s="32" t="n">
        <f aca="false">2*PI()*(M41+N41/1296000-INT(M41+N41/1296000))</f>
        <v>6.19323628530764</v>
      </c>
      <c r="W41" s="31" t="n">
        <f aca="false">V41/$E$6</f>
        <v>354.846300675408</v>
      </c>
      <c r="X41" s="32" t="n">
        <f aca="false">(18520*SIN(S41)+U41)/206264.8062</f>
        <v>-0.068412250104062</v>
      </c>
      <c r="Y41" s="32" t="n">
        <f aca="false">COS(X41)*COS(V41)</f>
        <v>0.993627564799647</v>
      </c>
      <c r="Z41" s="32" t="n">
        <f aca="false">COS(X41)*SIN(V41)</f>
        <v>-0.0896176516506939</v>
      </c>
      <c r="AA41" s="32" t="n">
        <f aca="false">SIN(X41)</f>
        <v>-0.0683588983449776</v>
      </c>
      <c r="AB41" s="32" t="n">
        <f aca="false">COS($E$6*(23.4393-46.815*K41/3600))*Z41-SIN($E$6*(23.4393-46.815*K41/3600))*AA41</f>
        <v>-0.0550360806333082</v>
      </c>
      <c r="AC41" s="32" t="n">
        <f aca="false">SIN($E$6*(23.4393-46.815*K41/3600))*Z41+COS($E$6*(23.4393-46.815*K41/3600))*AA41</f>
        <v>-0.0983630636918558</v>
      </c>
      <c r="AD41" s="32" t="n">
        <f aca="false">SQRT(1-AC41*AC41)</f>
        <v>0.995150595488518</v>
      </c>
      <c r="AE41" s="31" t="n">
        <f aca="false">ATAN(AC41/AD41)/$E$6</f>
        <v>-5.64491619027633</v>
      </c>
      <c r="AF41" s="32" t="n">
        <f aca="false">IF(24*ATAN(AB41/(Y41+AD41))/PI()&gt;0,24*ATAN(AB41/(Y41+AD41))/PI(),24*ATAN(AB41/(Y41+AD41))/PI()+24)</f>
        <v>23.7886454025149</v>
      </c>
      <c r="AG41" s="31" t="n">
        <f aca="false">IF(L41-15*AF41&gt;0,L41-15*AF41,360+L41-15*AF41)</f>
        <v>21.3074283541339</v>
      </c>
      <c r="AH41" s="29" t="n">
        <f aca="false">0.950724+0.051818*COS(O41)+0.009531*COS(2*Q41-O41)+0.007843*COS(2*Q41)+0.002824*COS(2*O41)+0.000857*COS(2*Q41+O41)+0.000533*COS(2*Q41-P41)*(1-0.002495*(J41-2415020)/36525)+0.000401*COS(2*Q41-P41-O41)*(1-0.002495*(J41-2415020)/36525)+0.00032*COS(O41-P41)*(1-0.002495*(J41-2415020)/36525)-0.000271*COS(Q41)</f>
        <v>0.964940904563451</v>
      </c>
      <c r="AI41" s="32" t="n">
        <f aca="false">ASIN(COS($E$6*$E$2)*COS($E$6*AE41)*COS($E$6*AG41)+SIN($E$6*$E$2)*SIN($E$6*AE41))/$E$6</f>
        <v>31.3721552166438</v>
      </c>
      <c r="AJ41" s="29" t="n">
        <f aca="false">ASIN((0.9983271+0.0016764*COS($E$6*2*$E$2))*COS($E$6*AI41)*SIN($E$6*AH41))/$E$6</f>
        <v>0.822241575177054</v>
      </c>
      <c r="AK41" s="29" t="n">
        <f aca="false">AI41-AJ41</f>
        <v>30.5499136414667</v>
      </c>
      <c r="AL41" s="31" t="n">
        <f aca="false"> MOD(280.4664567 + 360007.6982779*K41/10 + 0.03032028*K41^2/100 + K41^3/49931000,360)</f>
        <v>250.642891492194</v>
      </c>
      <c r="AM41" s="29" t="n">
        <f aca="false"> AL41 + (1.9146 - 0.004817*K41 - 0.000014*K41^2)*SIN(P41)+ (0.019993 - 0.000101*K41)*SIN(2*P41)+ 0.00029*SIN(3*P41)</f>
        <v>249.590988270642</v>
      </c>
      <c r="AN41" s="29" t="n">
        <f aca="false">ACOS(COS(V41-$E$6*AM41)*COS(X41))/$E$6</f>
        <v>105.218762386227</v>
      </c>
      <c r="AO41" s="24" t="n">
        <f aca="false">180 - AN41 -0.1468*(1-0.0549*SIN(P41))*SIN($E$6*AN41)/(1-0.0167*SIN($E$6*AM41))</f>
        <v>74.6376333363935</v>
      </c>
      <c r="AP41" s="48" t="n">
        <f aca="false">SIN($E$6*AG41)</f>
        <v>0.363372020477081</v>
      </c>
      <c r="AQ41" s="48" t="n">
        <f aca="false">COS($E$6*AG41)*SIN($E$6*$E$2) - TAN($E$6*AE41)*COS($E$6*$E$2)</f>
        <v>0.777215468423071</v>
      </c>
      <c r="AR41" s="48" t="n">
        <f aca="false">IF(OR(AND(AP41*AQ41&gt;0), AND(AP41&lt;0,AQ41&gt;0)), MOD(ATAN2(AQ41,AP41)/$E$6+360,360),  ATAN2(AQ41,AP41)/$E$6)</f>
        <v>25.0575279850079</v>
      </c>
      <c r="AS41" s="20" t="n">
        <f aca="false"> 385000.56 + (-20905355*COS(O41) - 3699111*COS(2*Q41-O41) - 2955968*COS(2*Q41) - 569925*COS(2*O41) + (1-0.002516*K41)*48888*COS(P41) - 3149*COS(2*R41)  +246158*COS(2*Q41-2*O41) -(1-0.002516*K41)*152138*COS(2*Q41-P41-O41) -170733*COS(2*Q41+O41) -(1-0.002516*K41)*204586*COS(2*Q41-P41) -(1-0.002516*K41)*129620*COS(P41-O41)  + 108743*COS(Q41) +(1-0.002516*K41)*104755*COS(P41+O41) +10321*COS(2*Q41-2*R41) +79661*COS(O41-2*R41) -34782*COS(4*Q41-O41) -23210*COS(3*O41)  -21636*COS(4*Q41-2*O41) +(1-0.002516*K41)*24208*COS(2*Q41+P41-O41) +(1-0.002516*K41)*30824*COS(2*Q41+P41) -8379*COS(Q41-O41) -(1-0.002516*K41)*16675*COS(Q41+P41)  -(1-0.002516*K41)*12831*COS(2*Q41-P41+O41) -10445*COS(2*Q41+2*O41) -11650*COS(4*Q41) +14403*COS(2*Q41-3*O41) -(1-0.002516*K41)*7003*COS(P41-2*O41)  + (1-0.002516*K41)*10056*COS(2*Q41-P41-2*O41) +6322*COS(Q41+O41) -(1-0.002516*K41)*(1-0.002516*K41)*9884*COS(2*Q41-2*P41) +(1-0.002516*K41)*5751*COS(P41+2*O41) -(1-0.002516*K41)*(1-0.002516*K41)*4950*COS(2*Q41-2*P41-O41)  +4130*COS(2*Q41+O41-2*R41) -(1-0.002516*K41)*3958*COS(4*Q41-P41-O41) +3258*COS(3*Q41-O41) +(1-0.002516*K41)*2616*COS(2*Q41+P41+O41) -(1-0.002516*K41)*1897*COS(4*Q41-P41-2*O41)  -(1-0.002516*K41)*(1-0.002516*K41)*2117*COS(2*P41-O41) +(1-0.002516*K41)*(1-0.002516*K41)*2354*COS(2*Q41+2*P41-O41) -1423*COS(4*Q41+O41) -1117*COS(4*O41) -(1-0.002516*K41)*1571*COS(4*Q41-P41)  -1739*COS(Q41-2*O41) -4421*COS(2*O41-2*R41) +(1-0.002516*K41)*(1-0.002516*K41)*1165*COS(2*P41+O41) +8752*COS(2*Q41-O41-2*R41))/1000</f>
        <v>378706.728958742</v>
      </c>
      <c r="AT41" s="24" t="n">
        <f aca="false">60*ATAN(3476/AS41)/$E$6</f>
        <v>31.5528384006594</v>
      </c>
      <c r="AU41" s="28" t="n">
        <f aca="false">ATAN(0.99664719*TAN($E$6*input!$D$2))</f>
        <v>0.871010436227447</v>
      </c>
      <c r="AV41" s="28" t="n">
        <f aca="false">COS(AU41)</f>
        <v>0.644053912545846</v>
      </c>
      <c r="AW41" s="28" t="n">
        <f aca="false">0.99664719*SIN(AU41)</f>
        <v>0.762415269897027</v>
      </c>
      <c r="AX41" s="28" t="n">
        <f aca="false">6378.14/AS41</f>
        <v>0.0168418977332057</v>
      </c>
      <c r="AY41" s="31" t="n">
        <f aca="false">L41-15*AF41</f>
        <v>-338.692571645866</v>
      </c>
      <c r="AZ41" s="29" t="n">
        <f aca="false">COS($E$6*AE41)*SIN($E$6*AY41)</f>
        <v>0.361609882561634</v>
      </c>
      <c r="BA41" s="29" t="n">
        <f aca="false">COS($E$6*AE41)*COS($E$6*AY41)-AV41*AX41</f>
        <v>0.91627911515995</v>
      </c>
      <c r="BB41" s="29" t="n">
        <f aca="false">SIN($E$6*AE41)-AW41*AX41</f>
        <v>-0.111203583697696</v>
      </c>
      <c r="BC41" s="45" t="n">
        <f aca="false">SQRT(AZ41^2+BA41^2+BB41^2)</f>
        <v>0.99130992180637</v>
      </c>
      <c r="BD41" s="20" t="n">
        <f aca="false">AS41*BC41</f>
        <v>375415.737871637</v>
      </c>
      <c r="BE41" s="30" t="str">
        <f aca="false">IF(OR(AND(BD41&gt;BD40,BD41&gt;BD42),AND(BD41&lt;BD40,BD41&lt;BD42)),BD41,"")</f>
        <v/>
      </c>
    </row>
    <row r="42" customFormat="false" ht="15" hidden="false" customHeight="false" outlineLevel="0" collapsed="false">
      <c r="A42" s="31" t="n">
        <v>20</v>
      </c>
      <c r="B42" s="30" t="n">
        <f aca="false">$B$2</f>
        <v>1</v>
      </c>
      <c r="C42" s="30" t="n">
        <f aca="false">C41</f>
        <v>12</v>
      </c>
      <c r="D42" s="30" t="n">
        <f aca="false">$D$2</f>
        <v>2022</v>
      </c>
      <c r="F42" s="38" t="n">
        <f aca="false">AK42</f>
        <v>28.3830988707135</v>
      </c>
      <c r="G42" s="39" t="n">
        <f aca="false">F42+1.02/(TAN($E$6*(F42+10.3/(F42+5.11)))*60)</f>
        <v>28.4141620714773</v>
      </c>
      <c r="H42" s="38" t="n">
        <f aca="false">100*(1+COS($E$6*AO42))/2</f>
        <v>63.4646334770613</v>
      </c>
      <c r="I42" s="38" t="n">
        <f aca="false">IF(AG42&gt;180, AR42-180,AR42+180)</f>
        <v>213.061774019885</v>
      </c>
      <c r="J42" s="31" t="n">
        <f aca="false">INT(365.25*IF(C42&gt;2,D42+4716,D42-1+4716))+INT(30.6001*IF(C42&gt;2,C42+1,C42+12+1))+B42+A42/24+2-INT(IF(C42&gt;2,D42,D42-1)/100)+INT(INT(IF(C42&gt;2,D42,D42-1)/100)/4)-1524.5</f>
        <v>2459915.33333333</v>
      </c>
      <c r="K42" s="47" t="n">
        <f aca="false">(J42-2451545)/36525</f>
        <v>0.229167237052252</v>
      </c>
      <c r="L42" s="31" t="n">
        <f aca="false">MOD(280.46061837+360.98564736629*(J42-2451545)+0.000387933*K42^2-K42^3/38710000+$E$4,360)</f>
        <v>25.6576437680051</v>
      </c>
      <c r="M42" s="28" t="n">
        <f aca="false">0.606433+1336.855225*K42 - INT(0.606433+1336.855225*K42)</f>
        <v>0.969851252116087</v>
      </c>
      <c r="N42" s="31" t="n">
        <f aca="false">22640*SIN(O42)-4586*SIN(O42-2*Q42)+2370*SIN(2*Q42)+769*SIN(2*O42)-668*SIN(P42)-412*SIN(2*R42)-212*SIN(2*O42-2*Q42)-206*SIN(O42+P42-2*Q42)+192*SIN(O42+2*Q42)-165*SIN(P42-2*Q42)-125*SIN(Q42)-110*SIN(O42+P42)+148*SIN(O42-P42)-55*SIN(2*R42-2*Q42)</f>
        <v>21532.6592068827</v>
      </c>
      <c r="O42" s="29" t="n">
        <f aca="false">2*PI()*(0.374897+1325.55241*K42 - INT(0.374897+1325.55241*K42))</f>
        <v>0.930416390321189</v>
      </c>
      <c r="P42" s="32" t="n">
        <f aca="false">2*PI()*(0.993133+99.997361*K42 - INT(0.993133+99.997361*K42))</f>
        <v>5.71299838523758</v>
      </c>
      <c r="Q42" s="32" t="n">
        <f aca="false">2*PI()*(0.827361+1236.853086*K42 - INT(0.827361+1236.853086*K42))</f>
        <v>1.7188618390128</v>
      </c>
      <c r="R42" s="32" t="n">
        <f aca="false">2*PI()*(0.259086+1342.227825*K42 - INT(0.259086+1342.227825*K42))</f>
        <v>5.36413216779627</v>
      </c>
      <c r="S42" s="32" t="n">
        <f aca="false">R42+(N42+412*SIN(2*R42)+541*SIN(P42))/206264.8062</f>
        <v>5.46518316980631</v>
      </c>
      <c r="T42" s="32" t="n">
        <f aca="false">R42-2*Q42</f>
        <v>1.92640848977066</v>
      </c>
      <c r="U42" s="24" t="n">
        <f aca="false">-526*SIN(T42)+44*SIN(O42+T42)-31*SIN(-O42+T42)-23*SIN(P42+T42)+11*SIN(-P42+T42)-25*SIN(-2*O42+R42)+21*SIN(-O42+R42)</f>
        <v>-533.949630481636</v>
      </c>
      <c r="V42" s="32" t="n">
        <f aca="false">2*PI()*(M42+N42/1296000-INT(M42+N42/1296000))</f>
        <v>6.19814841518718</v>
      </c>
      <c r="W42" s="31" t="n">
        <f aca="false">V42/$E$6</f>
        <v>355.127744985925</v>
      </c>
      <c r="X42" s="32" t="n">
        <f aca="false">(18520*SIN(S42)+U42)/206264.8062</f>
        <v>-0.0681139026114044</v>
      </c>
      <c r="Y42" s="32" t="n">
        <f aca="false">COS(X42)*COS(V42)</f>
        <v>0.994076065737312</v>
      </c>
      <c r="Z42" s="32" t="n">
        <f aca="false">COS(X42)*SIN(V42)</f>
        <v>-0.0847374908795882</v>
      </c>
      <c r="AA42" s="32" t="n">
        <f aca="false">SIN(X42)</f>
        <v>-0.0680612457104566</v>
      </c>
      <c r="AB42" s="32" t="n">
        <f aca="false">COS($E$6*(23.4393-46.815*K42/3600))*Z42-SIN($E$6*(23.4393-46.815*K42/3600))*AA42</f>
        <v>-0.0506769052734343</v>
      </c>
      <c r="AC42" s="32" t="n">
        <f aca="false">SIN($E$6*(23.4393-46.815*K42/3600))*Z42+COS($E$6*(23.4393-46.815*K42/3600))*AA42</f>
        <v>-0.096148982314608</v>
      </c>
      <c r="AD42" s="32" t="n">
        <f aca="false">SQRT(1-AC42*AC42)</f>
        <v>0.995366954042511</v>
      </c>
      <c r="AE42" s="31" t="n">
        <f aca="false">ATAN(AC42/AD42)/$E$6</f>
        <v>-5.51745439911868</v>
      </c>
      <c r="AF42" s="32" t="n">
        <f aca="false">IF(24*ATAN(AB42/(Y42+AD42))/PI()&gt;0,24*ATAN(AB42/(Y42+AD42))/PI(),24*ATAN(AB42/(Y42+AD42))/PI()+24)</f>
        <v>23.8054433665779</v>
      </c>
      <c r="AG42" s="31" t="n">
        <f aca="false">IF(L42-15*AF42&gt;0,L42-15*AF42,360+L42-15*AF42)</f>
        <v>28.5759932693365</v>
      </c>
      <c r="AH42" s="29" t="n">
        <f aca="false">0.950724+0.051818*COS(O42)+0.009531*COS(2*Q42-O42)+0.007843*COS(2*Q42)+0.002824*COS(2*O42)+0.000857*COS(2*Q42+O42)+0.000533*COS(2*Q42-P42)*(1-0.002495*(J42-2415020)/36525)+0.000401*COS(2*Q42-P42-O42)*(1-0.002495*(J42-2415020)/36525)+0.00032*COS(O42-P42)*(1-0.002495*(J42-2415020)/36525)-0.000271*COS(Q42)</f>
        <v>0.964728886942981</v>
      </c>
      <c r="AI42" s="32" t="n">
        <f aca="false">ASIN(COS($E$6*$E$2)*COS($E$6*AE42)*COS($E$6*AG42)+SIN($E$6*$E$2)*SIN($E$6*AE42))/$E$6</f>
        <v>29.2233767591299</v>
      </c>
      <c r="AJ42" s="29" t="n">
        <f aca="false">ASIN((0.9983271+0.0016764*COS($E$6*2*$E$2))*COS($E$6*AI42)*SIN($E$6*AH42))/$E$6</f>
        <v>0.840277888416385</v>
      </c>
      <c r="AK42" s="29" t="n">
        <f aca="false">AI42-AJ42</f>
        <v>28.3830988707135</v>
      </c>
      <c r="AL42" s="31" t="n">
        <f aca="false"> MOD(280.4664567 + 360007.6982779*K42/10 + 0.03032028*K42^2/100 + K42^3/49931000,360)</f>
        <v>250.663425812429</v>
      </c>
      <c r="AM42" s="29" t="n">
        <f aca="false"> AL42 + (1.9146 - 0.004817*K42 - 0.000014*K42^2)*SIN(P42)+ (0.019993 - 0.000101*K42)*SIN(2*P42)+ 0.00029*SIN(3*P42)</f>
        <v>249.612105712614</v>
      </c>
      <c r="AN42" s="29" t="n">
        <f aca="false">ACOS(COS(V42-$E$6*AM42)*COS(X42))/$E$6</f>
        <v>105.478758000186</v>
      </c>
      <c r="AO42" s="24" t="n">
        <f aca="false">180 - AN42 -0.1468*(1-0.0549*SIN(P42))*SIN($E$6*AN42)/(1-0.0167*SIN($E$6*AM42))</f>
        <v>74.3778190871231</v>
      </c>
      <c r="AP42" s="48" t="n">
        <f aca="false">SIN($E$6*AG42)</f>
        <v>0.478323944144894</v>
      </c>
      <c r="AQ42" s="48" t="n">
        <f aca="false">COS($E$6*AG42)*SIN($E$6*$E$2) - TAN($E$6*AE42)*COS($E$6*$E$2)</f>
        <v>0.734818611313456</v>
      </c>
      <c r="AR42" s="48" t="n">
        <f aca="false">IF(OR(AND(AP42*AQ42&gt;0), AND(AP42&lt;0,AQ42&gt;0)), MOD(ATAN2(AQ42,AP42)/$E$6+360,360),  ATAN2(AQ42,AP42)/$E$6)</f>
        <v>33.0617740198853</v>
      </c>
      <c r="AS42" s="20" t="n">
        <f aca="false"> 385000.56 + (-20905355*COS(O42) - 3699111*COS(2*Q42-O42) - 2955968*COS(2*Q42) - 569925*COS(2*O42) + (1-0.002516*K42)*48888*COS(P42) - 3149*COS(2*R42)  +246158*COS(2*Q42-2*O42) -(1-0.002516*K42)*152138*COS(2*Q42-P42-O42) -170733*COS(2*Q42+O42) -(1-0.002516*K42)*204586*COS(2*Q42-P42) -(1-0.002516*K42)*129620*COS(P42-O42)  + 108743*COS(Q42) +(1-0.002516*K42)*104755*COS(P42+O42) +10321*COS(2*Q42-2*R42) +79661*COS(O42-2*R42) -34782*COS(4*Q42-O42) -23210*COS(3*O42)  -21636*COS(4*Q42-2*O42) +(1-0.002516*K42)*24208*COS(2*Q42+P42-O42) +(1-0.002516*K42)*30824*COS(2*Q42+P42) -8379*COS(Q42-O42) -(1-0.002516*K42)*16675*COS(Q42+P42)  -(1-0.002516*K42)*12831*COS(2*Q42-P42+O42) -10445*COS(2*Q42+2*O42) -11650*COS(4*Q42) +14403*COS(2*Q42-3*O42) -(1-0.002516*K42)*7003*COS(P42-2*O42)  + (1-0.002516*K42)*10056*COS(2*Q42-P42-2*O42) +6322*COS(Q42+O42) -(1-0.002516*K42)*(1-0.002516*K42)*9884*COS(2*Q42-2*P42) +(1-0.002516*K42)*5751*COS(P42+2*O42) -(1-0.002516*K42)*(1-0.002516*K42)*4950*COS(2*Q42-2*P42-O42)  +4130*COS(2*Q42+O42-2*R42) -(1-0.002516*K42)*3958*COS(4*Q42-P42-O42) +3258*COS(3*Q42-O42) +(1-0.002516*K42)*2616*COS(2*Q42+P42+O42) -(1-0.002516*K42)*1897*COS(4*Q42-P42-2*O42)  -(1-0.002516*K42)*(1-0.002516*K42)*2117*COS(2*P42-O42) +(1-0.002516*K42)*(1-0.002516*K42)*2354*COS(2*Q42+2*P42-O42) -1423*COS(4*Q42+O42) -1117*COS(4*O42) -(1-0.002516*K42)*1571*COS(4*Q42-P42)  -1739*COS(Q42-2*O42) -4421*COS(2*O42-2*R42) +(1-0.002516*K42)*(1-0.002516*K42)*1165*COS(2*P42+O42) +8752*COS(2*Q42-O42-2*R42))/1000</f>
        <v>378789.084605535</v>
      </c>
      <c r="AT42" s="24" t="n">
        <f aca="false">60*ATAN(3476/AS42)/$E$6</f>
        <v>31.5459786239872</v>
      </c>
      <c r="AU42" s="28" t="n">
        <f aca="false">ATAN(0.99664719*TAN($E$6*input!$D$2))</f>
        <v>0.871010436227447</v>
      </c>
      <c r="AV42" s="28" t="n">
        <f aca="false">COS(AU42)</f>
        <v>0.644053912545846</v>
      </c>
      <c r="AW42" s="28" t="n">
        <f aca="false">0.99664719*SIN(AU42)</f>
        <v>0.762415269897027</v>
      </c>
      <c r="AX42" s="28" t="n">
        <f aca="false">6378.14/AS42</f>
        <v>0.0168382359978564</v>
      </c>
      <c r="AY42" s="31" t="n">
        <f aca="false">L42-15*AF42</f>
        <v>-331.424006730664</v>
      </c>
      <c r="AZ42" s="29" t="n">
        <f aca="false">COS($E$6*AE42)*SIN($E$6*AY42)</f>
        <v>0.476107847329103</v>
      </c>
      <c r="BA42" s="29" t="n">
        <f aca="false">COS($E$6*AE42)*COS($E$6*AY42)-AV42*AX42</f>
        <v>0.863270072419438</v>
      </c>
      <c r="BB42" s="29" t="n">
        <f aca="false">SIN($E$6*AE42)-AW42*AX42</f>
        <v>-0.108986710557504</v>
      </c>
      <c r="BC42" s="45" t="n">
        <f aca="false">SQRT(AZ42^2+BA42^2+BB42^2)</f>
        <v>0.991862895415268</v>
      </c>
      <c r="BD42" s="20" t="n">
        <f aca="false">AS42*BC42</f>
        <v>375706.838208545</v>
      </c>
      <c r="BE42" s="30" t="str">
        <f aca="false">IF(OR(AND(BD42&gt;BD41,BD42&gt;BD43),AND(BD42&lt;BD41,BD42&lt;BD43)),BD42,"")</f>
        <v/>
      </c>
    </row>
    <row r="43" customFormat="false" ht="15" hidden="false" customHeight="false" outlineLevel="0" collapsed="false">
      <c r="A43" s="31" t="n">
        <v>20.5</v>
      </c>
      <c r="B43" s="30" t="n">
        <f aca="false">$B$2</f>
        <v>1</v>
      </c>
      <c r="C43" s="30" t="n">
        <f aca="false">C42</f>
        <v>12</v>
      </c>
      <c r="D43" s="30" t="n">
        <f aca="false">$D$2</f>
        <v>2022</v>
      </c>
      <c r="F43" s="38" t="n">
        <f aca="false">AK43</f>
        <v>25.6765176513316</v>
      </c>
      <c r="G43" s="39" t="n">
        <f aca="false">F43+1.02/(TAN($E$6*(F43+10.3/(F43+5.11)))*60)</f>
        <v>25.7113557165764</v>
      </c>
      <c r="H43" s="38" t="n">
        <f aca="false">100*(1+COS($E$6*AO43))/2</f>
        <v>63.6827476701456</v>
      </c>
      <c r="I43" s="38" t="n">
        <f aca="false">IF(AG43&gt;180, AR43-180,AR43+180)</f>
        <v>220.666929182985</v>
      </c>
      <c r="J43" s="31" t="n">
        <f aca="false">INT(365.25*IF(C43&gt;2,D43+4716,D43-1+4716))+INT(30.6001*IF(C43&gt;2,C43+1,C43+12+1))+B43+A43/24+2-INT(IF(C43&gt;2,D43,D43-1)/100)+INT(INT(IF(C43&gt;2,D43,D43-1)/100)/4)-1524.5</f>
        <v>2459915.35416667</v>
      </c>
      <c r="K43" s="47" t="n">
        <f aca="false">(J43-2451545)/36525</f>
        <v>0.229167807437824</v>
      </c>
      <c r="L43" s="31" t="n">
        <f aca="false">MOD(280.46061837+360.98564736629*(J43-2451545)+0.000387933*K43^2-K43^3/38710000+$E$4,360)</f>
        <v>33.1781779765151</v>
      </c>
      <c r="M43" s="28" t="n">
        <f aca="false">0.606433+1336.855225*K43 - INT(0.606433+1336.855225*K43)</f>
        <v>0.970613775048491</v>
      </c>
      <c r="N43" s="31" t="n">
        <f aca="false">22640*SIN(O43)-4586*SIN(O43-2*Q43)+2370*SIN(2*Q43)+769*SIN(2*O43)-668*SIN(P43)-412*SIN(2*R43)-212*SIN(2*O43-2*Q43)-206*SIN(O43+P43-2*Q43)+192*SIN(O43+2*Q43)-165*SIN(P43-2*Q43)-125*SIN(Q43)-110*SIN(O43+P43)+148*SIN(O43-P43)-55*SIN(2*R43-2*Q43)</f>
        <v>21557.167229665</v>
      </c>
      <c r="O43" s="29" t="n">
        <f aca="false">2*PI()*(0.374897+1325.55241*K43 - INT(0.374897+1325.55241*K43))</f>
        <v>0.935166955745593</v>
      </c>
      <c r="P43" s="32" t="n">
        <f aca="false">2*PI()*(0.993133+99.997361*K43 - INT(0.993133+99.997361*K43))</f>
        <v>5.71335675960446</v>
      </c>
      <c r="Q43" s="32" t="n">
        <f aca="false">2*PI()*(0.827361+1236.853086*K43 - INT(0.827361+1236.853086*K43))</f>
        <v>1.72329452040749</v>
      </c>
      <c r="R43" s="32" t="n">
        <f aca="false">2*PI()*(0.259086+1342.227825*K43 - INT(0.259086+1342.227825*K43))</f>
        <v>5.36894249521107</v>
      </c>
      <c r="S43" s="32" t="n">
        <f aca="false">R43+(N43+412*SIN(2*R43)+541*SIN(P43))/206264.8062</f>
        <v>5.47010812021614</v>
      </c>
      <c r="T43" s="32" t="n">
        <f aca="false">R43-2*Q43</f>
        <v>1.92235345439609</v>
      </c>
      <c r="U43" s="24" t="n">
        <f aca="false">-526*SIN(T43)+44*SIN(O43+T43)-31*SIN(-O43+T43)-23*SIN(P43+T43)+11*SIN(-P43+T43)-25*SIN(-2*O43+R43)+21*SIN(-O43+R43)</f>
        <v>-534.621286947438</v>
      </c>
      <c r="V43" s="32" t="n">
        <f aca="false">2*PI()*(M43+N43/1296000-INT(M43+N43/1296000))</f>
        <v>6.20305830631987</v>
      </c>
      <c r="W43" s="31" t="n">
        <f aca="false">V43/$E$6</f>
        <v>355.409061025697</v>
      </c>
      <c r="X43" s="32" t="n">
        <f aca="false">(18520*SIN(S43)+U43)/206264.8062</f>
        <v>-0.0678140426210454</v>
      </c>
      <c r="Y43" s="32" t="n">
        <f aca="false">COS(X43)*COS(V43)</f>
        <v>0.994500432487154</v>
      </c>
      <c r="Z43" s="32" t="n">
        <f aca="false">COS(X43)*SIN(V43)</f>
        <v>-0.0798573138068841</v>
      </c>
      <c r="AA43" s="32" t="n">
        <f aca="false">SIN(X43)</f>
        <v>-0.0677620779965594</v>
      </c>
      <c r="AB43" s="32" t="n">
        <f aca="false">COS($E$6*(23.4393-46.815*K43/3600))*Z43-SIN($E$6*(23.4393-46.815*K43/3600))*AA43</f>
        <v>-0.0463183175481054</v>
      </c>
      <c r="AC43" s="32" t="n">
        <f aca="false">SIN($E$6*(23.4393-46.815*K43/3600))*Z43+COS($E$6*(23.4393-46.815*K43/3600))*AA43</f>
        <v>-0.0939335043654597</v>
      </c>
      <c r="AD43" s="32" t="n">
        <f aca="false">SQRT(1-AC43*AC43)</f>
        <v>0.995578473430208</v>
      </c>
      <c r="AE43" s="31" t="n">
        <f aca="false">ATAN(AC43/AD43)/$E$6</f>
        <v>-5.38993961951243</v>
      </c>
      <c r="AF43" s="32" t="n">
        <f aca="false">IF(24*ATAN(AB43/(Y43+AD43))/PI()&gt;0,24*ATAN(AB43/(Y43+AD43))/PI(),24*ATAN(AB43/(Y43+AD43))/PI()+24)</f>
        <v>23.8222271452042</v>
      </c>
      <c r="AG43" s="31" t="n">
        <f aca="false">IF(L43-15*AF43&gt;0,L43-15*AF43,360+L43-15*AF43)</f>
        <v>35.8447707984528</v>
      </c>
      <c r="AH43" s="29" t="n">
        <f aca="false">0.950724+0.051818*COS(O43)+0.009531*COS(2*Q43-O43)+0.007843*COS(2*Q43)+0.002824*COS(2*O43)+0.000857*COS(2*Q43+O43)+0.000533*COS(2*Q43-P43)*(1-0.002495*(J43-2415020)/36525)+0.000401*COS(2*Q43-P43-O43)*(1-0.002495*(J43-2415020)/36525)+0.00032*COS(O43-P43)*(1-0.002495*(J43-2415020)/36525)-0.000271*COS(Q43)</f>
        <v>0.964517046010212</v>
      </c>
      <c r="AI43" s="32" t="n">
        <f aca="false">ASIN(COS($E$6*$E$2)*COS($E$6*AE43)*COS($E$6*AG43)+SIN($E$6*$E$2)*SIN($E$6*AE43))/$E$6</f>
        <v>26.5377106762752</v>
      </c>
      <c r="AJ43" s="29" t="n">
        <f aca="false">ASIN((0.9983271+0.0016764*COS($E$6*2*$E$2))*COS($E$6*AI43)*SIN($E$6*AH43))/$E$6</f>
        <v>0.861193024943508</v>
      </c>
      <c r="AK43" s="29" t="n">
        <f aca="false">AI43-AJ43</f>
        <v>25.6765176513316</v>
      </c>
      <c r="AL43" s="31" t="n">
        <f aca="false"> MOD(280.4664567 + 360007.6982779*K43/10 + 0.03032028*K43^2/100 + K43^3/49931000,360)</f>
        <v>250.683960132204</v>
      </c>
      <c r="AM43" s="29" t="n">
        <f aca="false"> AL43 + (1.9146 - 0.004817*K43 - 0.000014*K43^2)*SIN(P43)+ (0.019993 - 0.000101*K43)*SIN(2*P43)+ 0.00029*SIN(3*P43)</f>
        <v>249.633223296424</v>
      </c>
      <c r="AN43" s="29" t="n">
        <f aca="false">ACOS(COS(V43-$E$6*AM43)*COS(X43))/$E$6</f>
        <v>105.738635514551</v>
      </c>
      <c r="AO43" s="24" t="n">
        <f aca="false">180 - AN43 -0.1468*(1-0.0549*SIN(P43))*SIN($E$6*AN43)/(1-0.0167*SIN($E$6*AM43))</f>
        <v>74.1181258011826</v>
      </c>
      <c r="AP43" s="48" t="n">
        <f aca="false">SIN($E$6*AG43)</f>
        <v>0.585591259857923</v>
      </c>
      <c r="AQ43" s="48" t="n">
        <f aca="false">COS($E$6*AG43)*SIN($E$6*$E$2) - TAN($E$6*AE43)*COS($E$6*$E$2)</f>
        <v>0.681608041778016</v>
      </c>
      <c r="AR43" s="48" t="n">
        <f aca="false">IF(OR(AND(AP43*AQ43&gt;0), AND(AP43&lt;0,AQ43&gt;0)), MOD(ATAN2(AQ43,AP43)/$E$6+360,360),  ATAN2(AQ43,AP43)/$E$6)</f>
        <v>40.6669291829847</v>
      </c>
      <c r="AS43" s="20" t="n">
        <f aca="false"> 385000.56 + (-20905355*COS(O43) - 3699111*COS(2*Q43-O43) - 2955968*COS(2*Q43) - 569925*COS(2*O43) + (1-0.002516*K43)*48888*COS(P43) - 3149*COS(2*R43)  +246158*COS(2*Q43-2*O43) -(1-0.002516*K43)*152138*COS(2*Q43-P43-O43) -170733*COS(2*Q43+O43) -(1-0.002516*K43)*204586*COS(2*Q43-P43) -(1-0.002516*K43)*129620*COS(P43-O43)  + 108743*COS(Q43) +(1-0.002516*K43)*104755*COS(P43+O43) +10321*COS(2*Q43-2*R43) +79661*COS(O43-2*R43) -34782*COS(4*Q43-O43) -23210*COS(3*O43)  -21636*COS(4*Q43-2*O43) +(1-0.002516*K43)*24208*COS(2*Q43+P43-O43) +(1-0.002516*K43)*30824*COS(2*Q43+P43) -8379*COS(Q43-O43) -(1-0.002516*K43)*16675*COS(Q43+P43)  -(1-0.002516*K43)*12831*COS(2*Q43-P43+O43) -10445*COS(2*Q43+2*O43) -11650*COS(4*Q43) +14403*COS(2*Q43-3*O43) -(1-0.002516*K43)*7003*COS(P43-2*O43)  + (1-0.002516*K43)*10056*COS(2*Q43-P43-2*O43) +6322*COS(Q43+O43) -(1-0.002516*K43)*(1-0.002516*K43)*9884*COS(2*Q43-2*P43) +(1-0.002516*K43)*5751*COS(P43+2*O43) -(1-0.002516*K43)*(1-0.002516*K43)*4950*COS(2*Q43-2*P43-O43)  +4130*COS(2*Q43+O43-2*R43) -(1-0.002516*K43)*3958*COS(4*Q43-P43-O43) +3258*COS(3*Q43-O43) +(1-0.002516*K43)*2616*COS(2*Q43+P43+O43) -(1-0.002516*K43)*1897*COS(4*Q43-P43-2*O43)  -(1-0.002516*K43)*(1-0.002516*K43)*2117*COS(2*P43-O43) +(1-0.002516*K43)*(1-0.002516*K43)*2354*COS(2*Q43+2*P43-O43) -1423*COS(4*Q43+O43) -1117*COS(4*O43) -(1-0.002516*K43)*1571*COS(4*Q43-P43)  -1739*COS(Q43-2*O43) -4421*COS(2*O43-2*R43) +(1-0.002516*K43)*(1-0.002516*K43)*1165*COS(2*P43+O43) +8752*COS(2*Q43-O43-2*R43))/1000</f>
        <v>378871.422378596</v>
      </c>
      <c r="AT43" s="24" t="n">
        <f aca="false">60*ATAN(3476/AS43)/$E$6</f>
        <v>31.5391233171103</v>
      </c>
      <c r="AU43" s="28" t="n">
        <f aca="false">ATAN(0.99664719*TAN($E$6*input!$D$2))</f>
        <v>0.871010436227447</v>
      </c>
      <c r="AV43" s="28" t="n">
        <f aca="false">COS(AU43)</f>
        <v>0.644053912545846</v>
      </c>
      <c r="AW43" s="28" t="n">
        <f aca="false">0.99664719*SIN(AU43)</f>
        <v>0.762415269897027</v>
      </c>
      <c r="AX43" s="28" t="n">
        <f aca="false">6378.14/AS43</f>
        <v>0.016834576648609</v>
      </c>
      <c r="AY43" s="31" t="n">
        <f aca="false">L43-15*AF43</f>
        <v>-324.155229201547</v>
      </c>
      <c r="AZ43" s="29" t="n">
        <f aca="false">COS($E$6*AE43)*SIN($E$6*AY43)</f>
        <v>0.583002052543423</v>
      </c>
      <c r="BA43" s="29" t="n">
        <f aca="false">COS($E$6*AE43)*COS($E$6*AY43)-AV43*AX43</f>
        <v>0.796179993684937</v>
      </c>
      <c r="BB43" s="29" t="n">
        <f aca="false">SIN($E$6*AE43)-AW43*AX43</f>
        <v>-0.106768442664611</v>
      </c>
      <c r="BC43" s="45" t="n">
        <f aca="false">SQRT(AZ43^2+BA43^2+BB43^2)</f>
        <v>0.992569129060045</v>
      </c>
      <c r="BD43" s="20" t="n">
        <f aca="false">AS43*BC43</f>
        <v>376056.077736064</v>
      </c>
      <c r="BE43" s="30" t="str">
        <f aca="false">IF(OR(AND(BD43&gt;BD42,BD43&gt;BD44),AND(BD43&lt;BD42,BD43&lt;BD44)),BD43,"")</f>
        <v/>
      </c>
    </row>
    <row r="44" customFormat="false" ht="15" hidden="false" customHeight="false" outlineLevel="0" collapsed="false">
      <c r="A44" s="31" t="n">
        <v>21</v>
      </c>
      <c r="B44" s="30" t="n">
        <f aca="false">$B$2</f>
        <v>1</v>
      </c>
      <c r="C44" s="30" t="n">
        <f aca="false">C43</f>
        <v>12</v>
      </c>
      <c r="D44" s="30" t="n">
        <f aca="false">$D$2</f>
        <v>2022</v>
      </c>
      <c r="F44" s="38" t="n">
        <f aca="false">AK44</f>
        <v>22.507264928377</v>
      </c>
      <c r="G44" s="39" t="n">
        <f aca="false">F44+1.02/(TAN($E$6*(F44+10.3/(F44+5.11)))*60)</f>
        <v>22.5475483557935</v>
      </c>
      <c r="H44" s="38" t="n">
        <f aca="false">100*(1+COS($E$6*AO44))/2</f>
        <v>63.9004795450173</v>
      </c>
      <c r="I44" s="38" t="n">
        <f aca="false">IF(AG44&gt;180, AR44-180,AR44+180)</f>
        <v>227.859813024785</v>
      </c>
      <c r="J44" s="31" t="n">
        <f aca="false">INT(365.25*IF(C44&gt;2,D44+4716,D44-1+4716))+INT(30.6001*IF(C44&gt;2,C44+1,C44+12+1))+B44+A44/24+2-INT(IF(C44&gt;2,D44,D44-1)/100)+INT(INT(IF(C44&gt;2,D44,D44-1)/100)/4)-1524.5</f>
        <v>2459915.375</v>
      </c>
      <c r="K44" s="47" t="n">
        <f aca="false">(J44-2451545)/36525</f>
        <v>0.229168377823409</v>
      </c>
      <c r="L44" s="31" t="n">
        <f aca="false">MOD(280.46061837+360.98564736629*(J44-2451545)+0.000387933*K44^2-K44^3/38710000+$E$4,360)</f>
        <v>40.6987123526633</v>
      </c>
      <c r="M44" s="28" t="n">
        <f aca="false">0.606433+1336.855225*K44 - INT(0.606433+1336.855225*K44)</f>
        <v>0.971376297997949</v>
      </c>
      <c r="N44" s="31" t="n">
        <f aca="false">22640*SIN(O44)-4586*SIN(O44-2*Q44)+2370*SIN(2*Q44)+769*SIN(2*O44)-668*SIN(P44)-412*SIN(2*R44)-212*SIN(2*O44-2*Q44)-206*SIN(O44+P44-2*Q44)+192*SIN(O44+2*Q44)-165*SIN(P44-2*Q44)-125*SIN(Q44)-110*SIN(O44+P44)+148*SIN(O44-P44)-55*SIN(2*R44-2*Q44)</f>
        <v>21581.2142348721</v>
      </c>
      <c r="O44" s="29" t="n">
        <f aca="false">2*PI()*(0.374897+1325.55241*K44 - INT(0.374897+1325.55241*K44))</f>
        <v>0.93991752127643</v>
      </c>
      <c r="P44" s="32" t="n">
        <f aca="false">2*PI()*(0.993133+99.997361*K44 - INT(0.993133+99.997361*K44))</f>
        <v>5.71371513397935</v>
      </c>
      <c r="Q44" s="32" t="n">
        <f aca="false">2*PI()*(0.827361+1236.853086*K44 - INT(0.827361+1236.853086*K44))</f>
        <v>1.72772720190146</v>
      </c>
      <c r="R44" s="32" t="n">
        <f aca="false">2*PI()*(0.259086+1342.227825*K44 - INT(0.259086+1342.227825*K44))</f>
        <v>5.37375282273302</v>
      </c>
      <c r="S44" s="32" t="n">
        <f aca="false">R44+(N44+412*SIN(2*R44)+541*SIN(P44))/206264.8062</f>
        <v>5.4750310146091</v>
      </c>
      <c r="T44" s="32" t="n">
        <f aca="false">R44-2*Q44</f>
        <v>1.91829841893009</v>
      </c>
      <c r="U44" s="24" t="n">
        <f aca="false">-526*SIN(T44)+44*SIN(O44+T44)-31*SIN(-O44+T44)-23*SIN(P44+T44)+11*SIN(-P44+T44)-25*SIN(-2*O44+R44)+21*SIN(-O44+R44)</f>
        <v>-535.282838301293</v>
      </c>
      <c r="V44" s="32" t="n">
        <f aca="false">2*PI()*(M44+N44/1296000-INT(M44+N44/1296000))</f>
        <v>6.20796596248343</v>
      </c>
      <c r="W44" s="31" t="n">
        <f aca="false">V44/$E$6</f>
        <v>355.690249011171</v>
      </c>
      <c r="X44" s="32" t="n">
        <f aca="false">(18520*SIN(S44)+U44)/206264.8062</f>
        <v>-0.0675126792026475</v>
      </c>
      <c r="Y44" s="32" t="n">
        <f aca="false">COS(X44)*COS(V44)</f>
        <v>0.99490068495096</v>
      </c>
      <c r="Z44" s="32" t="n">
        <f aca="false">COS(X44)*SIN(V44)</f>
        <v>-0.0749772367406103</v>
      </c>
      <c r="AA44" s="32" t="n">
        <f aca="false">SIN(X44)</f>
        <v>-0.0674614041867863</v>
      </c>
      <c r="AB44" s="32" t="n">
        <f aca="false">COS($E$6*(23.4393-46.815*K44/3600))*Z44-SIN($E$6*(23.4393-46.815*K44/3600))*AA44</f>
        <v>-0.0419604205972465</v>
      </c>
      <c r="AC44" s="32" t="n">
        <f aca="false">SIN($E$6*(23.4393-46.815*K44/3600))*Z44+COS($E$6*(23.4393-46.815*K44/3600))*AA44</f>
        <v>-0.0917166843459391</v>
      </c>
      <c r="AD44" s="32" t="n">
        <f aca="false">SQRT(1-AC44*AC44)</f>
        <v>0.995785142393974</v>
      </c>
      <c r="AE44" s="31" t="n">
        <f aca="false">ATAN(AC44/AD44)/$E$6</f>
        <v>-5.26237438975557</v>
      </c>
      <c r="AF44" s="32" t="n">
        <f aca="false">IF(24*ATAN(AB44/(Y44+AD44))/PI()&gt;0,24*ATAN(AB44/(Y44+AD44))/PI(),24*ATAN(AB44/(Y44+AD44))/PI()+24)</f>
        <v>23.8389969249093</v>
      </c>
      <c r="AG44" s="31" t="n">
        <f aca="false">IF(L44-15*AF44&gt;0,L44-15*AF44,360+L44-15*AF44)</f>
        <v>43.1137584790234</v>
      </c>
      <c r="AH44" s="29" t="n">
        <f aca="false">0.950724+0.051818*COS(O44)+0.009531*COS(2*Q44-O44)+0.007843*COS(2*Q44)+0.002824*COS(2*O44)+0.000857*COS(2*Q44+O44)+0.000533*COS(2*Q44-P44)*(1-0.002495*(J44-2415020)/36525)+0.000401*COS(2*Q44-P44-O44)*(1-0.002495*(J44-2415020)/36525)+0.00032*COS(O44-P44)*(1-0.002495*(J44-2415020)/36525)-0.000271*COS(Q44)</f>
        <v>0.964305385023851</v>
      </c>
      <c r="AI44" s="32" t="n">
        <f aca="false">ASIN(COS($E$6*$E$2)*COS($E$6*AE44)*COS($E$6*AG44)+SIN($E$6*$E$2)*SIN($E$6*AE44))/$E$6</f>
        <v>23.3905786480066</v>
      </c>
      <c r="AJ44" s="29" t="n">
        <f aca="false">ASIN((0.9983271+0.0016764*COS($E$6*2*$E$2))*COS($E$6*AI44)*SIN($E$6*AH44))/$E$6</f>
        <v>0.88331371962961</v>
      </c>
      <c r="AK44" s="29" t="n">
        <f aca="false">AI44-AJ44</f>
        <v>22.507264928377</v>
      </c>
      <c r="AL44" s="31" t="n">
        <f aca="false"> MOD(280.4664567 + 360007.6982779*K44/10 + 0.03032028*K44^2/100 + K44^3/49931000,360)</f>
        <v>250.704494452439</v>
      </c>
      <c r="AM44" s="29" t="n">
        <f aca="false"> AL44 + (1.9146 - 0.004817*K44 - 0.000014*K44^2)*SIN(P44)+ (0.019993 - 0.000101*K44)*SIN(2*P44)+ 0.00029*SIN(3*P44)</f>
        <v>249.654341022937</v>
      </c>
      <c r="AN44" s="29" t="n">
        <f aca="false">ACOS(COS(V44-$E$6*AM44)*COS(X44))/$E$6</f>
        <v>105.998395127902</v>
      </c>
      <c r="AO44" s="24" t="n">
        <f aca="false">180 - AN44 -0.1468*(1-0.0549*SIN(P44))*SIN($E$6*AN44)/(1-0.0167*SIN($E$6*AM44))</f>
        <v>73.85855327222</v>
      </c>
      <c r="AP44" s="48" t="n">
        <f aca="false">SIN($E$6*AG44)</f>
        <v>0.683449088401078</v>
      </c>
      <c r="AQ44" s="48" t="n">
        <f aca="false">COS($E$6*AG44)*SIN($E$6*$E$2) - TAN($E$6*AE44)*COS($E$6*$E$2)</f>
        <v>0.618414933915854</v>
      </c>
      <c r="AR44" s="48" t="n">
        <f aca="false">IF(OR(AND(AP44*AQ44&gt;0), AND(AP44&lt;0,AQ44&gt;0)), MOD(ATAN2(AQ44,AP44)/$E$6+360,360),  ATAN2(AQ44,AP44)/$E$6)</f>
        <v>47.8598130247851</v>
      </c>
      <c r="AS44" s="20" t="n">
        <f aca="false"> 385000.56 + (-20905355*COS(O44) - 3699111*COS(2*Q44-O44) - 2955968*COS(2*Q44) - 569925*COS(2*O44) + (1-0.002516*K44)*48888*COS(P44) - 3149*COS(2*R44)  +246158*COS(2*Q44-2*O44) -(1-0.002516*K44)*152138*COS(2*Q44-P44-O44) -170733*COS(2*Q44+O44) -(1-0.002516*K44)*204586*COS(2*Q44-P44) -(1-0.002516*K44)*129620*COS(P44-O44)  + 108743*COS(Q44) +(1-0.002516*K44)*104755*COS(P44+O44) +10321*COS(2*Q44-2*R44) +79661*COS(O44-2*R44) -34782*COS(4*Q44-O44) -23210*COS(3*O44)  -21636*COS(4*Q44-2*O44) +(1-0.002516*K44)*24208*COS(2*Q44+P44-O44) +(1-0.002516*K44)*30824*COS(2*Q44+P44) -8379*COS(Q44-O44) -(1-0.002516*K44)*16675*COS(Q44+P44)  -(1-0.002516*K44)*12831*COS(2*Q44-P44+O44) -10445*COS(2*Q44+2*O44) -11650*COS(4*Q44) +14403*COS(2*Q44-3*O44) -(1-0.002516*K44)*7003*COS(P44-2*O44)  + (1-0.002516*K44)*10056*COS(2*Q44-P44-2*O44) +6322*COS(Q44+O44) -(1-0.002516*K44)*(1-0.002516*K44)*9884*COS(2*Q44-2*P44) +(1-0.002516*K44)*5751*COS(P44+2*O44) -(1-0.002516*K44)*(1-0.002516*K44)*4950*COS(2*Q44-2*P44-O44)  +4130*COS(2*Q44+O44-2*R44) -(1-0.002516*K44)*3958*COS(4*Q44-P44-O44) +3258*COS(3*Q44-O44) +(1-0.002516*K44)*2616*COS(2*Q44+P44+O44) -(1-0.002516*K44)*1897*COS(4*Q44-P44-2*O44)  -(1-0.002516*K44)*(1-0.002516*K44)*2117*COS(2*P44-O44) +(1-0.002516*K44)*(1-0.002516*K44)*2354*COS(2*Q44+2*P44-O44) -1423*COS(4*Q44+O44) -1117*COS(4*O44) -(1-0.002516*K44)*1571*COS(4*Q44-P44)  -1739*COS(Q44-2*O44) -4421*COS(2*O44-2*R44) +(1-0.002516*K44)*(1-0.002516*K44)*1165*COS(2*P44+O44) +8752*COS(2*Q44-O44-2*R44))/1000</f>
        <v>378953.741025024</v>
      </c>
      <c r="AT44" s="24" t="n">
        <f aca="false">60*ATAN(3476/AS44)/$E$6</f>
        <v>31.532272580392</v>
      </c>
      <c r="AU44" s="28" t="n">
        <f aca="false">ATAN(0.99664719*TAN($E$6*input!$D$2))</f>
        <v>0.871010436227447</v>
      </c>
      <c r="AV44" s="28" t="n">
        <f aca="false">COS(AU44)</f>
        <v>0.644053912545846</v>
      </c>
      <c r="AW44" s="28" t="n">
        <f aca="false">0.99664719*SIN(AU44)</f>
        <v>0.762415269897027</v>
      </c>
      <c r="AX44" s="28" t="n">
        <f aca="false">6378.14/AS44</f>
        <v>0.016830919739037</v>
      </c>
      <c r="AY44" s="31" t="n">
        <f aca="false">L44-15*AF44</f>
        <v>-316.886241520977</v>
      </c>
      <c r="AZ44" s="29" t="n">
        <f aca="false">COS($E$6*AE44)*SIN($E$6*AY44)</f>
        <v>0.680568447812499</v>
      </c>
      <c r="BA44" s="29" t="n">
        <f aca="false">COS($E$6*AE44)*COS($E$6*AY44)-AV44*AX44</f>
        <v>0.716081322427614</v>
      </c>
      <c r="BB44" s="29" t="n">
        <f aca="false">SIN($E$6*AE44)-AW44*AX44</f>
        <v>-0.104548834561392</v>
      </c>
      <c r="BC44" s="45" t="n">
        <f aca="false">SQRT(AZ44^2+BA44^2+BB44^2)</f>
        <v>0.993416494374711</v>
      </c>
      <c r="BD44" s="20" t="n">
        <f aca="false">AS44*BC44</f>
        <v>376458.896939262</v>
      </c>
      <c r="BE44" s="30" t="str">
        <f aca="false">IF(OR(AND(BD44&gt;BD43,BD44&gt;BD45),AND(BD44&lt;BD43,BD44&lt;BD45)),BD44,"")</f>
        <v/>
      </c>
    </row>
    <row r="45" customFormat="false" ht="15" hidden="false" customHeight="false" outlineLevel="0" collapsed="false">
      <c r="A45" s="31" t="n">
        <v>21.5</v>
      </c>
      <c r="B45" s="30" t="n">
        <f aca="false">$B$2</f>
        <v>1</v>
      </c>
      <c r="C45" s="30" t="n">
        <f aca="false">C44</f>
        <v>12</v>
      </c>
      <c r="D45" s="30" t="n">
        <f aca="false">$D$2</f>
        <v>2022</v>
      </c>
      <c r="F45" s="38" t="n">
        <f aca="false">AK45</f>
        <v>18.9518340563179</v>
      </c>
      <c r="G45" s="39" t="n">
        <f aca="false">F45+1.02/(TAN($E$6*(F45+10.3/(F45+5.11)))*60)</f>
        <v>19.0001622861468</v>
      </c>
      <c r="H45" s="38" t="n">
        <f aca="false">100*(1+COS($E$6*AO45))/2</f>
        <v>64.1178251869326</v>
      </c>
      <c r="I45" s="38" t="n">
        <f aca="false">IF(AG45&gt;180, AR45-180,AR45+180)</f>
        <v>234.659812384756</v>
      </c>
      <c r="J45" s="31" t="n">
        <f aca="false">INT(365.25*IF(C45&gt;2,D45+4716,D45-1+4716))+INT(30.6001*IF(C45&gt;2,C45+1,C45+12+1))+B45+A45/24+2-INT(IF(C45&gt;2,D45,D45-1)/100)+INT(INT(IF(C45&gt;2,D45,D45-1)/100)/4)-1524.5</f>
        <v>2459915.39583333</v>
      </c>
      <c r="K45" s="47" t="n">
        <f aca="false">(J45-2451545)/36525</f>
        <v>0.229168948208994</v>
      </c>
      <c r="L45" s="31" t="n">
        <f aca="false">MOD(280.46061837+360.98564736629*(J45-2451545)+0.000387933*K45^2-K45^3/38710000+$E$4,360)</f>
        <v>48.2192467288114</v>
      </c>
      <c r="M45" s="28" t="n">
        <f aca="false">0.606433+1336.855225*K45 - INT(0.606433+1336.855225*K45)</f>
        <v>0.97213882094735</v>
      </c>
      <c r="N45" s="31" t="n">
        <f aca="false">22640*SIN(O45)-4586*SIN(O45-2*Q45)+2370*SIN(2*Q45)+769*SIN(2*O45)-668*SIN(P45)-412*SIN(2*R45)-212*SIN(2*O45-2*Q45)-206*SIN(O45+P45-2*Q45)+192*SIN(O45+2*Q45)-165*SIN(P45-2*Q45)-125*SIN(Q45)-110*SIN(O45+P45)+148*SIN(O45-P45)-55*SIN(2*R45-2*Q45)</f>
        <v>21604.8009639999</v>
      </c>
      <c r="O45" s="29" t="n">
        <f aca="false">2*PI()*(0.374897+1325.55241*K45 - INT(0.374897+1325.55241*K45))</f>
        <v>0.944668086807267</v>
      </c>
      <c r="P45" s="32" t="n">
        <f aca="false">2*PI()*(0.993133+99.997361*K45 - INT(0.993133+99.997361*K45))</f>
        <v>5.71407350835425</v>
      </c>
      <c r="Q45" s="32" t="n">
        <f aca="false">2*PI()*(0.827361+1236.853086*K45 - INT(0.827361+1236.853086*K45))</f>
        <v>1.73215988339508</v>
      </c>
      <c r="R45" s="32" t="n">
        <f aca="false">2*PI()*(0.259086+1342.227825*K45 - INT(0.259086+1342.227825*K45))</f>
        <v>5.37856315025533</v>
      </c>
      <c r="S45" s="32" t="n">
        <f aca="false">R45+(N45+412*SIN(2*R45)+541*SIN(P45))/206264.8062</f>
        <v>5.47995185691826</v>
      </c>
      <c r="T45" s="32" t="n">
        <f aca="false">R45-2*Q45</f>
        <v>1.91424338346516</v>
      </c>
      <c r="U45" s="24" t="n">
        <f aca="false">-526*SIN(T45)+44*SIN(O45+T45)-31*SIN(-O45+T45)-23*SIN(P45+T45)+11*SIN(-P45+T45)-25*SIN(-2*O45+R45)+21*SIN(-O45+R45)</f>
        <v>-535.934282829428</v>
      </c>
      <c r="V45" s="32" t="n">
        <f aca="false">2*PI()*(M45+N45/1296000-INT(M45+N45/1296000))</f>
        <v>6.21287138716523</v>
      </c>
      <c r="W45" s="31" t="n">
        <f aca="false">V45/$E$6</f>
        <v>355.971309142157</v>
      </c>
      <c r="X45" s="32" t="n">
        <f aca="false">(18520*SIN(S45)+U45)/206264.8062</f>
        <v>-0.0672098214597232</v>
      </c>
      <c r="Y45" s="32" t="n">
        <f aca="false">COS(X45)*COS(V45)</f>
        <v>0.99527684352364</v>
      </c>
      <c r="Z45" s="32" t="n">
        <f aca="false">COS(X45)*SIN(V45)</f>
        <v>-0.070097376043913</v>
      </c>
      <c r="AA45" s="32" t="n">
        <f aca="false">SIN(X45)</f>
        <v>-0.0671592332995044</v>
      </c>
      <c r="AB45" s="32" t="n">
        <f aca="false">COS($E$6*(23.4393-46.815*K45/3600))*Z45-SIN($E$6*(23.4393-46.815*K45/3600))*AA45</f>
        <v>-0.0376033175974852</v>
      </c>
      <c r="AC45" s="32" t="n">
        <f aca="false">SIN($E$6*(23.4393-46.815*K45/3600))*Z45+COS($E$6*(23.4393-46.815*K45/3600))*AA45</f>
        <v>-0.0894985768114872</v>
      </c>
      <c r="AD45" s="32" t="n">
        <f aca="false">SQRT(1-AC45*AC45)</f>
        <v>0.995986950089567</v>
      </c>
      <c r="AE45" s="31" t="n">
        <f aca="false">ATAN(AC45/AD45)/$E$6</f>
        <v>-5.13476124749663</v>
      </c>
      <c r="AF45" s="32" t="n">
        <f aca="false">IF(24*ATAN(AB45/(Y45+AD45))/PI()&gt;0,24*ATAN(AB45/(Y45+AD45))/PI(),24*ATAN(AB45/(Y45+AD45))/PI()+24)</f>
        <v>23.8557528909875</v>
      </c>
      <c r="AG45" s="31" t="n">
        <f aca="false">IF(L45-15*AF45&gt;0,L45-15*AF45,360+L45-15*AF45)</f>
        <v>50.3829533639994</v>
      </c>
      <c r="AH45" s="29" t="n">
        <f aca="false">0.950724+0.051818*COS(O45)+0.009531*COS(2*Q45-O45)+0.007843*COS(2*Q45)+0.002824*COS(2*O45)+0.000857*COS(2*Q45+O45)+0.000533*COS(2*Q45-P45)*(1-0.002495*(J45-2415020)/36525)+0.000401*COS(2*Q45-P45-O45)*(1-0.002495*(J45-2415020)/36525)+0.00032*COS(O45-P45)*(1-0.002495*(J45-2415020)/36525)-0.000271*COS(Q45)</f>
        <v>0.964093907205904</v>
      </c>
      <c r="AI45" s="32" t="n">
        <f aca="false">ASIN(COS($E$6*$E$2)*COS($E$6*AE45)*COS($E$6*AG45)+SIN($E$6*$E$2)*SIN($E$6*AE45))/$E$6</f>
        <v>19.8568211752462</v>
      </c>
      <c r="AJ45" s="29" t="n">
        <f aca="false">ASIN((0.9983271+0.0016764*COS($E$6*2*$E$2))*COS($E$6*AI45)*SIN($E$6*AH45))/$E$6</f>
        <v>0.904987118928309</v>
      </c>
      <c r="AK45" s="29" t="n">
        <f aca="false">AI45-AJ45</f>
        <v>18.9518340563179</v>
      </c>
      <c r="AL45" s="31" t="n">
        <f aca="false"> MOD(280.4664567 + 360007.6982779*K45/10 + 0.03032028*K45^2/100 + K45^3/49931000,360)</f>
        <v>250.725028772673</v>
      </c>
      <c r="AM45" s="29" t="n">
        <f aca="false"> AL45 + (1.9146 - 0.004817*K45 - 0.000014*K45^2)*SIN(P45)+ (0.019993 - 0.000101*K45)*SIN(2*P45)+ 0.00029*SIN(3*P45)</f>
        <v>249.675458891605</v>
      </c>
      <c r="AN45" s="29" t="n">
        <f aca="false">ACOS(COS(V45-$E$6*AM45)*COS(X45))/$E$6</f>
        <v>106.258037022377</v>
      </c>
      <c r="AO45" s="24" t="n">
        <f aca="false">180 - AN45 -0.1468*(1-0.0549*SIN(P45))*SIN($E$6*AN45)/(1-0.0167*SIN($E$6*AM45))</f>
        <v>73.5991013102743</v>
      </c>
      <c r="AP45" s="48" t="n">
        <f aca="false">SIN($E$6*AG45)</f>
        <v>0.770323562339033</v>
      </c>
      <c r="AQ45" s="48" t="n">
        <f aca="false">COS($E$6*AG45)*SIN($E$6*$E$2) - TAN($E$6*AE45)*COS($E$6*$E$2)</f>
        <v>0.546231065514737</v>
      </c>
      <c r="AR45" s="48" t="n">
        <f aca="false">IF(OR(AND(AP45*AQ45&gt;0), AND(AP45&lt;0,AQ45&gt;0)), MOD(ATAN2(AQ45,AP45)/$E$6+360,360),  ATAN2(AQ45,AP45)/$E$6)</f>
        <v>54.6598123847555</v>
      </c>
      <c r="AS45" s="20" t="n">
        <f aca="false"> 385000.56 + (-20905355*COS(O45) - 3699111*COS(2*Q45-O45) - 2955968*COS(2*Q45) - 569925*COS(2*O45) + (1-0.002516*K45)*48888*COS(P45) - 3149*COS(2*R45)  +246158*COS(2*Q45-2*O45) -(1-0.002516*K45)*152138*COS(2*Q45-P45-O45) -170733*COS(2*Q45+O45) -(1-0.002516*K45)*204586*COS(2*Q45-P45) -(1-0.002516*K45)*129620*COS(P45-O45)  + 108743*COS(Q45) +(1-0.002516*K45)*104755*COS(P45+O45) +10321*COS(2*Q45-2*R45) +79661*COS(O45-2*R45) -34782*COS(4*Q45-O45) -23210*COS(3*O45)  -21636*COS(4*Q45-2*O45) +(1-0.002516*K45)*24208*COS(2*Q45+P45-O45) +(1-0.002516*K45)*30824*COS(2*Q45+P45) -8379*COS(Q45-O45) -(1-0.002516*K45)*16675*COS(Q45+P45)  -(1-0.002516*K45)*12831*COS(2*Q45-P45+O45) -10445*COS(2*Q45+2*O45) -11650*COS(4*Q45) +14403*COS(2*Q45-3*O45) -(1-0.002516*K45)*7003*COS(P45-2*O45)  + (1-0.002516*K45)*10056*COS(2*Q45-P45-2*O45) +6322*COS(Q45+O45) -(1-0.002516*K45)*(1-0.002516*K45)*9884*COS(2*Q45-2*P45) +(1-0.002516*K45)*5751*COS(P45+2*O45) -(1-0.002516*K45)*(1-0.002516*K45)*4950*COS(2*Q45-2*P45-O45)  +4130*COS(2*Q45+O45-2*R45) -(1-0.002516*K45)*3958*COS(4*Q45-P45-O45) +3258*COS(3*Q45-O45) +(1-0.002516*K45)*2616*COS(2*Q45+P45+O45) -(1-0.002516*K45)*1897*COS(4*Q45-P45-2*O45)  -(1-0.002516*K45)*(1-0.002516*K45)*2117*COS(2*P45-O45) +(1-0.002516*K45)*(1-0.002516*K45)*2354*COS(2*Q45+2*P45-O45) -1423*COS(4*Q45+O45) -1117*COS(4*O45) -(1-0.002516*K45)*1571*COS(4*Q45-P45)  -1739*COS(Q45-2*O45) -4421*COS(2*O45-2*R45) +(1-0.002516*K45)*(1-0.002516*K45)*1165*COS(2*P45+O45) +8752*COS(2*Q45-O45-2*R45))/1000</f>
        <v>379036.039300247</v>
      </c>
      <c r="AT45" s="24" t="n">
        <f aca="false">60*ATAN(3476/AS45)/$E$6</f>
        <v>31.5254265133265</v>
      </c>
      <c r="AU45" s="28" t="n">
        <f aca="false">ATAN(0.99664719*TAN($E$6*input!$D$2))</f>
        <v>0.871010436227447</v>
      </c>
      <c r="AV45" s="28" t="n">
        <f aca="false">COS(AU45)</f>
        <v>0.644053912545846</v>
      </c>
      <c r="AW45" s="28" t="n">
        <f aca="false">0.99664719*SIN(AU45)</f>
        <v>0.762415269897027</v>
      </c>
      <c r="AX45" s="28" t="n">
        <f aca="false">6378.14/AS45</f>
        <v>0.0168272653222499</v>
      </c>
      <c r="AY45" s="31" t="n">
        <f aca="false">L45-15*AF45</f>
        <v>-309.617046636001</v>
      </c>
      <c r="AZ45" s="29" t="n">
        <f aca="false">COS($E$6*AE45)*SIN($E$6*AY45)</f>
        <v>0.767232215436185</v>
      </c>
      <c r="BA45" s="29" t="n">
        <f aca="false">COS($E$6*AE45)*COS($E$6*AY45)-AV45*AX45</f>
        <v>0.624256604371668</v>
      </c>
      <c r="BB45" s="29" t="n">
        <f aca="false">SIN($E$6*AE45)-AW45*AX45</f>
        <v>-0.102327940843779</v>
      </c>
      <c r="BC45" s="45" t="n">
        <f aca="false">SQRT(AZ45^2+BA45^2+BB45^2)</f>
        <v>0.994390561088595</v>
      </c>
      <c r="BD45" s="20" t="n">
        <f aca="false">AS45*BC45</f>
        <v>376909.859792571</v>
      </c>
      <c r="BE45" s="30" t="str">
        <f aca="false">IF(OR(AND(BD45&gt;BD44,BD45&gt;BD46),AND(BD45&lt;BD44,BD45&lt;BD46)),BD45,"")</f>
        <v/>
      </c>
    </row>
    <row r="46" customFormat="false" ht="15" hidden="false" customHeight="false" outlineLevel="0" collapsed="false">
      <c r="A46" s="31" t="n">
        <v>22</v>
      </c>
      <c r="B46" s="30" t="n">
        <f aca="false">$B$2</f>
        <v>1</v>
      </c>
      <c r="C46" s="30" t="n">
        <f aca="false">C45</f>
        <v>12</v>
      </c>
      <c r="D46" s="30" t="n">
        <f aca="false">$D$2</f>
        <v>2022</v>
      </c>
      <c r="F46" s="38" t="n">
        <f aca="false">AK46</f>
        <v>15.0822972047172</v>
      </c>
      <c r="G46" s="39" t="n">
        <f aca="false">F46+1.02/(TAN($E$6*(F46+10.3/(F46+5.11)))*60)</f>
        <v>15.1432155888936</v>
      </c>
      <c r="H46" s="38" t="n">
        <f aca="false">100*(1+COS($E$6*AO46))/2</f>
        <v>64.3347806993425</v>
      </c>
      <c r="I46" s="38" t="n">
        <f aca="false">IF(AG46&gt;180, AR46-180,AR46+180)</f>
        <v>241.108901440709</v>
      </c>
      <c r="J46" s="31" t="n">
        <f aca="false">INT(365.25*IF(C46&gt;2,D46+4716,D46-1+4716))+INT(30.6001*IF(C46&gt;2,C46+1,C46+12+1))+B46+A46/24+2-INT(IF(C46&gt;2,D46,D46-1)/100)+INT(INT(IF(C46&gt;2,D46,D46-1)/100)/4)-1524.5</f>
        <v>2459915.41666667</v>
      </c>
      <c r="K46" s="47" t="n">
        <f aca="false">(J46-2451545)/36525</f>
        <v>0.229169518594566</v>
      </c>
      <c r="L46" s="31" t="n">
        <f aca="false">MOD(280.46061837+360.98564736629*(J46-2451545)+0.000387933*K46^2-K46^3/38710000+$E$4,360)</f>
        <v>55.7397809373215</v>
      </c>
      <c r="M46" s="28" t="n">
        <f aca="false">0.606433+1336.855225*K46 - INT(0.606433+1336.855225*K46)</f>
        <v>0.972901343879812</v>
      </c>
      <c r="N46" s="31" t="n">
        <f aca="false">22640*SIN(O46)-4586*SIN(O46-2*Q46)+2370*SIN(2*Q46)+769*SIN(2*O46)-668*SIN(P46)-412*SIN(2*R46)-212*SIN(2*O46-2*Q46)-206*SIN(O46+P46-2*Q46)+192*SIN(O46+2*Q46)-165*SIN(P46-2*Q46)-125*SIN(Q46)-110*SIN(O46+P46)+148*SIN(O46-P46)-55*SIN(2*R46-2*Q46)</f>
        <v>21627.9281665645</v>
      </c>
      <c r="O46" s="29" t="n">
        <f aca="false">2*PI()*(0.374897+1325.55241*K46 - INT(0.374897+1325.55241*K46))</f>
        <v>0.949418652231671</v>
      </c>
      <c r="P46" s="32" t="n">
        <f aca="false">2*PI()*(0.993133+99.997361*K46 - INT(0.993133+99.997361*K46))</f>
        <v>5.71443188272116</v>
      </c>
      <c r="Q46" s="32" t="n">
        <f aca="false">2*PI()*(0.827361+1236.853086*K46 - INT(0.827361+1236.853086*K46))</f>
        <v>1.73659256479013</v>
      </c>
      <c r="R46" s="32" t="n">
        <f aca="false">2*PI()*(0.259086+1342.227825*K46 - INT(0.259086+1342.227825*K46))</f>
        <v>5.38337347766977</v>
      </c>
      <c r="S46" s="32" t="n">
        <f aca="false">R46+(N46+412*SIN(2*R46)+541*SIN(P46))/206264.8062</f>
        <v>5.48487065109755</v>
      </c>
      <c r="T46" s="32" t="n">
        <f aca="false">R46-2*Q46</f>
        <v>1.91018834808951</v>
      </c>
      <c r="U46" s="24" t="n">
        <f aca="false">-526*SIN(T46)+44*SIN(O46+T46)-31*SIN(-O46+T46)-23*SIN(P46+T46)+11*SIN(-P46+T46)-25*SIN(-2*O46+R46)+21*SIN(-O46+R46)</f>
        <v>-536.575619105252</v>
      </c>
      <c r="V46" s="32" t="n">
        <f aca="false">2*PI()*(M46+N46/1296000-INT(M46+N46/1296000))</f>
        <v>6.21777458389296</v>
      </c>
      <c r="W46" s="31" t="n">
        <f aca="false">V46/$E$6</f>
        <v>356.252241620778</v>
      </c>
      <c r="X46" s="32" t="n">
        <f aca="false">(18520*SIN(S46)+U46)/206264.8062</f>
        <v>-0.0669054785096191</v>
      </c>
      <c r="Y46" s="32" t="n">
        <f aca="false">COS(X46)*COS(V46)</f>
        <v>0.995628929121517</v>
      </c>
      <c r="Z46" s="32" t="n">
        <f aca="false">COS(X46)*SIN(V46)</f>
        <v>-0.0652178478046282</v>
      </c>
      <c r="AA46" s="32" t="n">
        <f aca="false">SIN(X46)</f>
        <v>-0.0668555743679913</v>
      </c>
      <c r="AB46" s="32" t="n">
        <f aca="false">COS($E$6*(23.4393-46.815*K46/3600))*Z46-SIN($E$6*(23.4393-46.815*K46/3600))*AA46</f>
        <v>-0.0332471114669208</v>
      </c>
      <c r="AC46" s="32" t="n">
        <f aca="false">SIN($E$6*(23.4393-46.815*K46/3600))*Z46+COS($E$6*(23.4393-46.815*K46/3600))*AA46</f>
        <v>-0.0872792362217258</v>
      </c>
      <c r="AD46" s="32" t="n">
        <f aca="false">SQRT(1-AC46*AC46)</f>
        <v>0.996183886099626</v>
      </c>
      <c r="AE46" s="31" t="n">
        <f aca="false">ATAN(AC46/AD46)/$E$6</f>
        <v>-5.00710272124842</v>
      </c>
      <c r="AF46" s="32" t="n">
        <f aca="false">IF(24*ATAN(AB46/(Y46+AD46))/PI()&gt;0,24*ATAN(AB46/(Y46+AD46))/PI(),24*ATAN(AB46/(Y46+AD46))/PI()+24)</f>
        <v>23.8724952286356</v>
      </c>
      <c r="AG46" s="31" t="n">
        <f aca="false">IF(L46-15*AF46&gt;0,L46-15*AF46,360+L46-15*AF46)</f>
        <v>57.652352507787</v>
      </c>
      <c r="AH46" s="29" t="n">
        <f aca="false">0.950724+0.051818*COS(O46)+0.009531*COS(2*Q46-O46)+0.007843*COS(2*Q46)+0.002824*COS(2*O46)+0.000857*COS(2*Q46+O46)+0.000533*COS(2*Q46-P46)*(1-0.002495*(J46-2415020)/36525)+0.000401*COS(2*Q46-P46-O46)*(1-0.002495*(J46-2415020)/36525)+0.00032*COS(O46-P46)*(1-0.002495*(J46-2415020)/36525)-0.000271*COS(Q46)</f>
        <v>0.963882615727625</v>
      </c>
      <c r="AI46" s="32" t="n">
        <f aca="false">ASIN(COS($E$6*$E$2)*COS($E$6*AE46)*COS($E$6*AG46)+SIN($E$6*$E$2)*SIN($E$6*AE46))/$E$6</f>
        <v>16.0069850993038</v>
      </c>
      <c r="AJ46" s="29" t="n">
        <f aca="false">ASIN((0.9983271+0.0016764*COS($E$6*2*$E$2))*COS($E$6*AI46)*SIN($E$6*AH46))/$E$6</f>
        <v>0.924687894586591</v>
      </c>
      <c r="AK46" s="29" t="n">
        <f aca="false">AI46-AJ46</f>
        <v>15.0822972047172</v>
      </c>
      <c r="AL46" s="31" t="n">
        <f aca="false"> MOD(280.4664567 + 360007.6982779*K46/10 + 0.03032028*K46^2/100 + K46^3/49931000,360)</f>
        <v>250.745563092449</v>
      </c>
      <c r="AM46" s="29" t="n">
        <f aca="false"> AL46 + (1.9146 - 0.004817*K46 - 0.000014*K46^2)*SIN(P46)+ (0.019993 - 0.000101*K46)*SIN(2*P46)+ 0.00029*SIN(3*P46)</f>
        <v>249.69657690188</v>
      </c>
      <c r="AN46" s="29" t="n">
        <f aca="false">ACOS(COS(V46-$E$6*AM46)*COS(X46))/$E$6</f>
        <v>106.517561381181</v>
      </c>
      <c r="AO46" s="24" t="n">
        <f aca="false">180 - AN46 -0.1468*(1-0.0549*SIN(P46))*SIN($E$6*AN46)/(1-0.0167*SIN($E$6*AM46))</f>
        <v>73.3397697242793</v>
      </c>
      <c r="AP46" s="48" t="n">
        <f aca="false">SIN($E$6*AG46)</f>
        <v>0.844817170578602</v>
      </c>
      <c r="AQ46" s="48" t="n">
        <f aca="false">COS($E$6*AG46)*SIN($E$6*$E$2) - TAN($E$6*AE46)*COS($E$6*$E$2)</f>
        <v>0.466192901133526</v>
      </c>
      <c r="AR46" s="48" t="n">
        <f aca="false">IF(OR(AND(AP46*AQ46&gt;0), AND(AP46&lt;0,AQ46&gt;0)), MOD(ATAN2(AQ46,AP46)/$E$6+360,360),  ATAN2(AQ46,AP46)/$E$6)</f>
        <v>61.1089014407088</v>
      </c>
      <c r="AS46" s="20" t="n">
        <f aca="false"> 385000.56 + (-20905355*COS(O46) - 3699111*COS(2*Q46-O46) - 2955968*COS(2*Q46) - 569925*COS(2*O46) + (1-0.002516*K46)*48888*COS(P46) - 3149*COS(2*R46)  +246158*COS(2*Q46-2*O46) -(1-0.002516*K46)*152138*COS(2*Q46-P46-O46) -170733*COS(2*Q46+O46) -(1-0.002516*K46)*204586*COS(2*Q46-P46) -(1-0.002516*K46)*129620*COS(P46-O46)  + 108743*COS(Q46) +(1-0.002516*K46)*104755*COS(P46+O46) +10321*COS(2*Q46-2*R46) +79661*COS(O46-2*R46) -34782*COS(4*Q46-O46) -23210*COS(3*O46)  -21636*COS(4*Q46-2*O46) +(1-0.002516*K46)*24208*COS(2*Q46+P46-O46) +(1-0.002516*K46)*30824*COS(2*Q46+P46) -8379*COS(Q46-O46) -(1-0.002516*K46)*16675*COS(Q46+P46)  -(1-0.002516*K46)*12831*COS(2*Q46-P46+O46) -10445*COS(2*Q46+2*O46) -11650*COS(4*Q46) +14403*COS(2*Q46-3*O46) -(1-0.002516*K46)*7003*COS(P46-2*O46)  + (1-0.002516*K46)*10056*COS(2*Q46-P46-2*O46) +6322*COS(Q46+O46) -(1-0.002516*K46)*(1-0.002516*K46)*9884*COS(2*Q46-2*P46) +(1-0.002516*K46)*5751*COS(P46+2*O46) -(1-0.002516*K46)*(1-0.002516*K46)*4950*COS(2*Q46-2*P46-O46)  +4130*COS(2*Q46+O46-2*R46) -(1-0.002516*K46)*3958*COS(4*Q46-P46-O46) +3258*COS(3*Q46-O46) +(1-0.002516*K46)*2616*COS(2*Q46+P46+O46) -(1-0.002516*K46)*1897*COS(4*Q46-P46-2*O46)  -(1-0.002516*K46)*(1-0.002516*K46)*2117*COS(2*P46-O46) +(1-0.002516*K46)*(1-0.002516*K46)*2354*COS(2*Q46+2*P46-O46) -1423*COS(4*Q46+O46) -1117*COS(4*O46) -(1-0.002516*K46)*1571*COS(4*Q46-P46)  -1739*COS(Q46-2*O46) -4421*COS(2*O46-2*R46) +(1-0.002516*K46)*(1-0.002516*K46)*1165*COS(2*P46+O46) +8752*COS(2*Q46-O46-2*R46))/1000</f>
        <v>379118.315973508</v>
      </c>
      <c r="AT46" s="24" t="n">
        <f aca="false">60*ATAN(3476/AS46)/$E$6</f>
        <v>31.5185852140848</v>
      </c>
      <c r="AU46" s="28" t="n">
        <f aca="false">ATAN(0.99664719*TAN($E$6*input!$D$2))</f>
        <v>0.871010436227447</v>
      </c>
      <c r="AV46" s="28" t="n">
        <f aca="false">COS(AU46)</f>
        <v>0.644053912545846</v>
      </c>
      <c r="AW46" s="28" t="n">
        <f aca="false">0.99664719*SIN(AU46)</f>
        <v>0.762415269897027</v>
      </c>
      <c r="AX46" s="28" t="n">
        <f aca="false">6378.14/AS46</f>
        <v>0.0168236134506508</v>
      </c>
      <c r="AY46" s="31" t="n">
        <f aca="false">L46-15*AF46</f>
        <v>-302.347647492213</v>
      </c>
      <c r="AZ46" s="29" t="n">
        <f aca="false">COS($E$6*AE46)*SIN($E$6*AY46)</f>
        <v>0.841593252030683</v>
      </c>
      <c r="BA46" s="29" t="n">
        <f aca="false">COS($E$6*AE46)*COS($E$6*AY46)-AV46*AX46</f>
        <v>0.522177943799992</v>
      </c>
      <c r="BB46" s="29" t="n">
        <f aca="false">SIN($E$6*AE46)-AW46*AX46</f>
        <v>-0.100105816011347</v>
      </c>
      <c r="BC46" s="45" t="n">
        <f aca="false">SQRT(AZ46^2+BA46^2+BB46^2)</f>
        <v>0.99547485214548</v>
      </c>
      <c r="BD46" s="20" t="n">
        <f aca="false">AS46*BC46</f>
        <v>377402.749539371</v>
      </c>
      <c r="BE46" s="30" t="str">
        <f aca="false">IF(OR(AND(BD46&gt;BD45,BD46&gt;BD47),AND(BD46&lt;BD45,BD46&lt;BD47)),BD46,"")</f>
        <v/>
      </c>
    </row>
    <row r="47" customFormat="false" ht="15" hidden="false" customHeight="false" outlineLevel="0" collapsed="false">
      <c r="A47" s="31" t="n">
        <v>22.5</v>
      </c>
      <c r="B47" s="30" t="n">
        <f aca="false">$B$2</f>
        <v>1</v>
      </c>
      <c r="C47" s="30" t="n">
        <f aca="false">C46</f>
        <v>12</v>
      </c>
      <c r="D47" s="30" t="n">
        <f aca="false">$D$2</f>
        <v>2022</v>
      </c>
      <c r="F47" s="38" t="n">
        <f aca="false">AK47</f>
        <v>10.9645789271168</v>
      </c>
      <c r="G47" s="39" t="n">
        <f aca="false">F47+1.02/(TAN($E$6*(F47+10.3/(F47+5.11)))*60)</f>
        <v>11.0473572842896</v>
      </c>
      <c r="H47" s="38" t="n">
        <f aca="false">100*(1+COS($E$6*AO47))/2</f>
        <v>64.551342218217</v>
      </c>
      <c r="I47" s="38" t="n">
        <f aca="false">IF(AG47&gt;180, AR47-180,AR47+180)</f>
        <v>247.262983016007</v>
      </c>
      <c r="J47" s="31" t="n">
        <f aca="false">INT(365.25*IF(C47&gt;2,D47+4716,D47-1+4716))+INT(30.6001*IF(C47&gt;2,C47+1,C47+12+1))+B47+A47/24+2-INT(IF(C47&gt;2,D47,D47-1)/100)+INT(INT(IF(C47&gt;2,D47,D47-1)/100)/4)-1524.5</f>
        <v>2459915.4375</v>
      </c>
      <c r="K47" s="47" t="n">
        <f aca="false">(J47-2451545)/36525</f>
        <v>0.229170088980151</v>
      </c>
      <c r="L47" s="31" t="n">
        <f aca="false">MOD(280.46061837+360.98564736629*(J47-2451545)+0.000387933*K47^2-K47^3/38710000+$E$4,360)</f>
        <v>63.2603153134696</v>
      </c>
      <c r="M47" s="28" t="n">
        <f aca="false">0.606433+1336.855225*K47 - INT(0.606433+1336.855225*K47)</f>
        <v>0.973663866829213</v>
      </c>
      <c r="N47" s="31" t="n">
        <f aca="false">22640*SIN(O47)-4586*SIN(O47-2*Q47)+2370*SIN(2*Q47)+769*SIN(2*O47)-668*SIN(P47)-412*SIN(2*R47)-212*SIN(2*O47-2*Q47)-206*SIN(O47+P47-2*Q47)+192*SIN(O47+2*Q47)-165*SIN(P47-2*Q47)-125*SIN(Q47)-110*SIN(O47+P47)+148*SIN(O47-P47)-55*SIN(2*R47-2*Q47)</f>
        <v>21650.596601523</v>
      </c>
      <c r="O47" s="29" t="n">
        <f aca="false">2*PI()*(0.374897+1325.55241*K47 - INT(0.374897+1325.55241*K47))</f>
        <v>0.954169217762508</v>
      </c>
      <c r="P47" s="32" t="n">
        <f aca="false">2*PI()*(0.993133+99.997361*K47 - INT(0.993133+99.997361*K47))</f>
        <v>5.71479025709605</v>
      </c>
      <c r="Q47" s="32" t="n">
        <f aca="false">2*PI()*(0.827361+1236.853086*K47 - INT(0.827361+1236.853086*K47))</f>
        <v>1.74102524628375</v>
      </c>
      <c r="R47" s="32" t="n">
        <f aca="false">2*PI()*(0.259086+1342.227825*K47 - INT(0.259086+1342.227825*K47))</f>
        <v>5.38818380519208</v>
      </c>
      <c r="S47" s="32" t="n">
        <f aca="false">R47+(N47+412*SIN(2*R47)+541*SIN(P47))/206264.8062</f>
        <v>5.48978740145372</v>
      </c>
      <c r="T47" s="32" t="n">
        <f aca="false">R47-2*Q47</f>
        <v>1.90613331262458</v>
      </c>
      <c r="U47" s="24" t="n">
        <f aca="false">-526*SIN(T47)+44*SIN(O47+T47)-31*SIN(-O47+T47)-23*SIN(P47+T47)+11*SIN(-P47+T47)-25*SIN(-2*O47+R47)+21*SIN(-O47+R47)</f>
        <v>-537.206846029685</v>
      </c>
      <c r="V47" s="32" t="n">
        <f aca="false">2*PI()*(M47+N47/1296000-INT(M47+N47/1296000))</f>
        <v>6.22267555655899</v>
      </c>
      <c r="W47" s="31" t="n">
        <f aca="false">V47/$E$6</f>
        <v>356.533046670051</v>
      </c>
      <c r="X47" s="32" t="n">
        <f aca="false">(18520*SIN(S47)+U47)/206264.8062</f>
        <v>-0.066599659462516</v>
      </c>
      <c r="Y47" s="32" t="n">
        <f aca="false">COS(X47)*COS(V47)</f>
        <v>0.995956963200576</v>
      </c>
      <c r="Z47" s="32" t="n">
        <f aca="false">COS(X47)*SIN(V47)</f>
        <v>-0.0603387675102995</v>
      </c>
      <c r="AA47" s="32" t="n">
        <f aca="false">SIN(X47)</f>
        <v>-0.066550436419494</v>
      </c>
      <c r="AB47" s="32" t="n">
        <f aca="false">COS($E$6*(23.4393-46.815*K47/3600))*Z47-SIN($E$6*(23.4393-46.815*K47/3600))*AA47</f>
        <v>-0.0288919045752818</v>
      </c>
      <c r="AC47" s="32" t="n">
        <f aca="false">SIN($E$6*(23.4393-46.815*K47/3600))*Z47+COS($E$6*(23.4393-46.815*K47/3600))*AA47</f>
        <v>-0.0850587167919897</v>
      </c>
      <c r="AD47" s="32" t="n">
        <f aca="false">SQRT(1-AC47*AC47)</f>
        <v>0.996375940445021</v>
      </c>
      <c r="AE47" s="31" t="n">
        <f aca="false">ATAN(AC47/AD47)/$E$6</f>
        <v>-4.87940132198466</v>
      </c>
      <c r="AF47" s="32" t="n">
        <f aca="false">IF(24*ATAN(AB47/(Y47+AD47))/PI()&gt;0,24*ATAN(AB47/(Y47+AD47))/PI(),24*ATAN(AB47/(Y47+AD47))/PI()+24)</f>
        <v>23.8892241240536</v>
      </c>
      <c r="AG47" s="31" t="n">
        <f aca="false">IF(L47-15*AF47&gt;0,L47-15*AF47,360+L47-15*AF47)</f>
        <v>64.9219534526657</v>
      </c>
      <c r="AH47" s="29" t="n">
        <f aca="false">0.950724+0.051818*COS(O47)+0.009531*COS(2*Q47-O47)+0.007843*COS(2*Q47)+0.002824*COS(2*O47)+0.000857*COS(2*Q47+O47)+0.000533*COS(2*Q47-P47)*(1-0.002495*(J47-2415020)/36525)+0.000401*COS(2*Q47-P47-O47)*(1-0.002495*(J47-2415020)/36525)+0.00032*COS(O47-P47)*(1-0.002495*(J47-2415020)/36525)-0.000271*COS(Q47)</f>
        <v>0.963671513695565</v>
      </c>
      <c r="AI47" s="32" t="n">
        <f aca="false">ASIN(COS($E$6*$E$2)*COS($E$6*AE47)*COS($E$6*AG47)+SIN($E$6*$E$2)*SIN($E$6*AE47))/$E$6</f>
        <v>11.9056665085933</v>
      </c>
      <c r="AJ47" s="29" t="n">
        <f aca="false">ASIN((0.9983271+0.0016764*COS($E$6*2*$E$2))*COS($E$6*AI47)*SIN($E$6*AH47))/$E$6</f>
        <v>0.941087581476539</v>
      </c>
      <c r="AK47" s="29" t="n">
        <f aca="false">AI47-AJ47</f>
        <v>10.9645789271168</v>
      </c>
      <c r="AL47" s="31" t="n">
        <f aca="false"> MOD(280.4664567 + 360007.6982779*K47/10 + 0.03032028*K47^2/100 + K47^3/49931000,360)</f>
        <v>250.766097412683</v>
      </c>
      <c r="AM47" s="29" t="n">
        <f aca="false"> AL47 + (1.9146 - 0.004817*K47 - 0.000014*K47^2)*SIN(P47)+ (0.019993 - 0.000101*K47)*SIN(2*P47)+ 0.00029*SIN(3*P47)</f>
        <v>249.717695054626</v>
      </c>
      <c r="AN47" s="29" t="n">
        <f aca="false">ACOS(COS(V47-$E$6*AM47)*COS(X47))/$E$6</f>
        <v>106.776968405742</v>
      </c>
      <c r="AO47" s="24" t="n">
        <f aca="false">180 - AN47 -0.1468*(1-0.0549*SIN(P47))*SIN($E$6*AN47)/(1-0.0167*SIN($E$6*AM47))</f>
        <v>73.080558304921</v>
      </c>
      <c r="AP47" s="48" t="n">
        <f aca="false">SIN($E$6*AG47)</f>
        <v>0.90573126879721</v>
      </c>
      <c r="AQ47" s="48" t="n">
        <f aca="false">COS($E$6*AG47)*SIN($E$6*$E$2) - TAN($E$6*AE47)*COS($E$6*$E$2)</f>
        <v>0.379563340607643</v>
      </c>
      <c r="AR47" s="48" t="n">
        <f aca="false">IF(OR(AND(AP47*AQ47&gt;0), AND(AP47&lt;0,AQ47&gt;0)), MOD(ATAN2(AQ47,AP47)/$E$6+360,360),  ATAN2(AQ47,AP47)/$E$6)</f>
        <v>67.2629830160068</v>
      </c>
      <c r="AS47" s="20" t="n">
        <f aca="false"> 385000.56 + (-20905355*COS(O47) - 3699111*COS(2*Q47-O47) - 2955968*COS(2*Q47) - 569925*COS(2*O47) + (1-0.002516*K47)*48888*COS(P47) - 3149*COS(2*R47)  +246158*COS(2*Q47-2*O47) -(1-0.002516*K47)*152138*COS(2*Q47-P47-O47) -170733*COS(2*Q47+O47) -(1-0.002516*K47)*204586*COS(2*Q47-P47) -(1-0.002516*K47)*129620*COS(P47-O47)  + 108743*COS(Q47) +(1-0.002516*K47)*104755*COS(P47+O47) +10321*COS(2*Q47-2*R47) +79661*COS(O47-2*R47) -34782*COS(4*Q47-O47) -23210*COS(3*O47)  -21636*COS(4*Q47-2*O47) +(1-0.002516*K47)*24208*COS(2*Q47+P47-O47) +(1-0.002516*K47)*30824*COS(2*Q47+P47) -8379*COS(Q47-O47) -(1-0.002516*K47)*16675*COS(Q47+P47)  -(1-0.002516*K47)*12831*COS(2*Q47-P47+O47) -10445*COS(2*Q47+2*O47) -11650*COS(4*Q47) +14403*COS(2*Q47-3*O47) -(1-0.002516*K47)*7003*COS(P47-2*O47)  + (1-0.002516*K47)*10056*COS(2*Q47-P47-2*O47) +6322*COS(Q47+O47) -(1-0.002516*K47)*(1-0.002516*K47)*9884*COS(2*Q47-2*P47) +(1-0.002516*K47)*5751*COS(P47+2*O47) -(1-0.002516*K47)*(1-0.002516*K47)*4950*COS(2*Q47-2*P47-O47)  +4130*COS(2*Q47+O47-2*R47) -(1-0.002516*K47)*3958*COS(4*Q47-P47-O47) +3258*COS(3*Q47-O47) +(1-0.002516*K47)*2616*COS(2*Q47+P47+O47) -(1-0.002516*K47)*1897*COS(4*Q47-P47-2*O47)  -(1-0.002516*K47)*(1-0.002516*K47)*2117*COS(2*P47-O47) +(1-0.002516*K47)*(1-0.002516*K47)*2354*COS(2*Q47+2*P47-O47) -1423*COS(4*Q47+O47) -1117*COS(4*O47) -(1-0.002516*K47)*1571*COS(4*Q47-P47)  -1739*COS(Q47-2*O47) -4421*COS(2*O47-2*R47) +(1-0.002516*K47)*(1-0.002516*K47)*1165*COS(2*P47+O47) +8752*COS(2*Q47-O47-2*R47))/1000</f>
        <v>379200.569833341</v>
      </c>
      <c r="AT47" s="24" t="n">
        <f aca="false">60*ATAN(3476/AS47)/$E$6</f>
        <v>31.5117487790622</v>
      </c>
      <c r="AU47" s="28" t="n">
        <f aca="false">ATAN(0.99664719*TAN($E$6*input!$D$2))</f>
        <v>0.871010436227447</v>
      </c>
      <c r="AV47" s="28" t="n">
        <f aca="false">COS(AU47)</f>
        <v>0.644053912545846</v>
      </c>
      <c r="AW47" s="28" t="n">
        <f aca="false">0.99664719*SIN(AU47)</f>
        <v>0.762415269897027</v>
      </c>
      <c r="AX47" s="28" t="n">
        <f aca="false">6378.14/AS47</f>
        <v>0.0168199641756952</v>
      </c>
      <c r="AY47" s="31" t="n">
        <f aca="false">L47-15*AF47</f>
        <v>-295.078046547334</v>
      </c>
      <c r="AZ47" s="29" t="n">
        <f aca="false">COS($E$6*AE47)*SIN($E$6*AY47)</f>
        <v>0.902448844738282</v>
      </c>
      <c r="BA47" s="29" t="n">
        <f aca="false">COS($E$6*AE47)*COS($E$6*AY47)-AV47*AX47</f>
        <v>0.411483383719364</v>
      </c>
      <c r="BB47" s="29" t="n">
        <f aca="false">SIN($E$6*AE47)-AW47*AX47</f>
        <v>-0.0978825143186606</v>
      </c>
      <c r="BC47" s="45" t="n">
        <f aca="false">SQRT(AZ47^2+BA47^2+BB47^2)</f>
        <v>0.996651132069763</v>
      </c>
      <c r="BD47" s="20" t="n">
        <f aca="false">AS47*BC47</f>
        <v>377930.677205899</v>
      </c>
      <c r="BE47" s="30" t="str">
        <f aca="false">IF(OR(AND(BD47&gt;BD46,BD47&gt;BD48),AND(BD47&lt;BD46,BD47&lt;BD48)),BD47,"")</f>
        <v/>
      </c>
    </row>
    <row r="48" customFormat="false" ht="15" hidden="false" customHeight="false" outlineLevel="0" collapsed="false">
      <c r="A48" s="31" t="n">
        <v>23</v>
      </c>
      <c r="B48" s="30" t="n">
        <f aca="false">$B$2</f>
        <v>1</v>
      </c>
      <c r="C48" s="30" t="n">
        <f aca="false">C47</f>
        <v>12</v>
      </c>
      <c r="D48" s="30" t="n">
        <f aca="false">$D$2</f>
        <v>2022</v>
      </c>
      <c r="F48" s="38" t="n">
        <f aca="false">AK48</f>
        <v>6.65825332743065</v>
      </c>
      <c r="G48" s="39" t="n">
        <f aca="false">F48+1.02/(TAN($E$6*(F48+10.3/(F48+5.11)))*60)</f>
        <v>6.78680049700946</v>
      </c>
      <c r="H48" s="38" t="n">
        <f aca="false">100*(1+COS($E$6*AO48))/2</f>
        <v>64.7675058831303</v>
      </c>
      <c r="I48" s="38" t="n">
        <f aca="false">IF(AG48&gt;180, AR48-180,AR48+180)</f>
        <v>253.185665907558</v>
      </c>
      <c r="J48" s="31" t="n">
        <f aca="false">INT(365.25*IF(C48&gt;2,D48+4716,D48-1+4716))+INT(30.6001*IF(C48&gt;2,C48+1,C48+12+1))+B48+A48/24+2-INT(IF(C48&gt;2,D48,D48-1)/100)+INT(INT(IF(C48&gt;2,D48,D48-1)/100)/4)-1524.5</f>
        <v>2459915.45833333</v>
      </c>
      <c r="K48" s="47" t="n">
        <f aca="false">(J48-2451545)/36525</f>
        <v>0.229170659365736</v>
      </c>
      <c r="L48" s="31" t="n">
        <f aca="false">MOD(280.46061837+360.98564736629*(J48-2451545)+0.000387933*K48^2-K48^3/38710000+$E$4,360)</f>
        <v>70.7808496900834</v>
      </c>
      <c r="M48" s="28" t="n">
        <f aca="false">0.606433+1336.855225*K48 - INT(0.606433+1336.855225*K48)</f>
        <v>0.974426389778671</v>
      </c>
      <c r="N48" s="31" t="n">
        <f aca="false">22640*SIN(O48)-4586*SIN(O48-2*Q48)+2370*SIN(2*Q48)+769*SIN(2*O48)-668*SIN(P48)-412*SIN(2*R48)-212*SIN(2*O48-2*Q48)-206*SIN(O48+P48-2*Q48)+192*SIN(O48+2*Q48)-165*SIN(P48-2*Q48)-125*SIN(Q48)-110*SIN(O48+P48)+148*SIN(O48-P48)-55*SIN(2*R48-2*Q48)</f>
        <v>21672.8070339619</v>
      </c>
      <c r="O48" s="29" t="n">
        <f aca="false">2*PI()*(0.374897+1325.55241*K48 - INT(0.374897+1325.55241*K48))</f>
        <v>0.958919783293345</v>
      </c>
      <c r="P48" s="32" t="n">
        <f aca="false">2*PI()*(0.993133+99.997361*K48 - INT(0.993133+99.997361*K48))</f>
        <v>5.71514863147095</v>
      </c>
      <c r="Q48" s="32" t="n">
        <f aca="false">2*PI()*(0.827361+1236.853086*K48 - INT(0.827361+1236.853086*K48))</f>
        <v>1.74545792777772</v>
      </c>
      <c r="R48" s="32" t="n">
        <f aca="false">2*PI()*(0.259086+1342.227825*K48 - INT(0.259086+1342.227825*K48))</f>
        <v>5.39299413271403</v>
      </c>
      <c r="S48" s="32" t="n">
        <f aca="false">R48+(N48+412*SIN(2*R48)+541*SIN(P48))/206264.8062</f>
        <v>5.49470211198291</v>
      </c>
      <c r="T48" s="32" t="n">
        <f aca="false">R48-2*Q48</f>
        <v>1.90207827715858</v>
      </c>
      <c r="U48" s="24" t="n">
        <f aca="false">-526*SIN(T48)+44*SIN(O48+T48)-31*SIN(-O48+T48)-23*SIN(P48+T48)+11*SIN(-P48+T48)-25*SIN(-2*O48+R48)+21*SIN(-O48+R48)</f>
        <v>-537.827962745431</v>
      </c>
      <c r="V48" s="32" t="n">
        <f aca="false">2*PI()*(M48+N48/1296000-INT(M48+N48/1296000))</f>
        <v>6.22757430876651</v>
      </c>
      <c r="W48" s="31" t="n">
        <f aca="false">V48/$E$6</f>
        <v>356.813724496422</v>
      </c>
      <c r="X48" s="32" t="n">
        <f aca="false">(18520*SIN(S48)+U48)/206264.8062</f>
        <v>-0.066292373462202</v>
      </c>
      <c r="Y48" s="32" t="n">
        <f aca="false">COS(X48)*COS(V48)</f>
        <v>0.996260967706843</v>
      </c>
      <c r="Z48" s="32" t="n">
        <f aca="false">COS(X48)*SIN(V48)</f>
        <v>-0.0554602506970313</v>
      </c>
      <c r="AA48" s="32" t="n">
        <f aca="false">SIN(X48)</f>
        <v>-0.066243828515922</v>
      </c>
      <c r="AB48" s="32" t="n">
        <f aca="false">COS($E$6*(23.4393-46.815*K48/3600))*Z48-SIN($E$6*(23.4393-46.815*K48/3600))*AA48</f>
        <v>-0.0245377993230647</v>
      </c>
      <c r="AC48" s="32" t="n">
        <f aca="false">SIN($E$6*(23.4393-46.815*K48/3600))*Z48+COS($E$6*(23.4393-46.815*K48/3600))*AA48</f>
        <v>-0.0828370727887306</v>
      </c>
      <c r="AD48" s="32" t="n">
        <f aca="false">SQRT(1-AC48*AC48)</f>
        <v>0.996563103557319</v>
      </c>
      <c r="AE48" s="31" t="n">
        <f aca="false">ATAN(AC48/AD48)/$E$6</f>
        <v>-4.75165956026549</v>
      </c>
      <c r="AF48" s="32" t="n">
        <f aca="false">IF(24*ATAN(AB48/(Y48+AD48))/PI()&gt;0,24*ATAN(AB48/(Y48+AD48))/PI(),24*ATAN(AB48/(Y48+AD48))/PI()+24)</f>
        <v>23.9059397622052</v>
      </c>
      <c r="AG48" s="31" t="n">
        <f aca="false">IF(L48-15*AF48&gt;0,L48-15*AF48,360+L48-15*AF48)</f>
        <v>72.191753257006</v>
      </c>
      <c r="AH48" s="29" t="n">
        <f aca="false">0.950724+0.051818*COS(O48)+0.009531*COS(2*Q48-O48)+0.007843*COS(2*Q48)+0.002824*COS(2*O48)+0.000857*COS(2*Q48+O48)+0.000533*COS(2*Q48-P48)*(1-0.002495*(J48-2415020)/36525)+0.000401*COS(2*Q48-P48-O48)*(1-0.002495*(J48-2415020)/36525)+0.00032*COS(O48-P48)*(1-0.002495*(J48-2415020)/36525)-0.000271*COS(Q48)</f>
        <v>0.963460604180185</v>
      </c>
      <c r="AI48" s="32" t="n">
        <f aca="false">ASIN(COS($E$6*$E$2)*COS($E$6*AE48)*COS($E$6*AG48)+SIN($E$6*$E$2)*SIN($E$6*AE48))/$E$6</f>
        <v>7.61134866329014</v>
      </c>
      <c r="AJ48" s="29" t="n">
        <f aca="false">ASIN((0.9983271+0.0016764*COS($E$6*2*$E$2))*COS($E$6*AI48)*SIN($E$6*AH48))/$E$6</f>
        <v>0.953095335859492</v>
      </c>
      <c r="AK48" s="29" t="n">
        <f aca="false">AI48-AJ48</f>
        <v>6.65825332743065</v>
      </c>
      <c r="AL48" s="31" t="n">
        <f aca="false"> MOD(280.4664567 + 360007.6982779*K48/10 + 0.03032028*K48^2/100 + K48^3/49931000,360)</f>
        <v>250.786631732917</v>
      </c>
      <c r="AM48" s="29" t="n">
        <f aca="false"> AL48 + (1.9146 - 0.004817*K48 - 0.000014*K48^2)*SIN(P48)+ (0.019993 - 0.000101*K48)*SIN(2*P48)+ 0.00029*SIN(3*P48)</f>
        <v>249.738813349295</v>
      </c>
      <c r="AN48" s="29" t="n">
        <f aca="false">ACOS(COS(V48-$E$6*AM48)*COS(X48))/$E$6</f>
        <v>107.036258281108</v>
      </c>
      <c r="AO48" s="24" t="n">
        <f aca="false">180 - AN48 -0.1468*(1-0.0549*SIN(P48))*SIN($E$6*AN48)/(1-0.0167*SIN($E$6*AM48))</f>
        <v>72.8214668592117</v>
      </c>
      <c r="AP48" s="48" t="n">
        <f aca="false">SIN($E$6*AG48)</f>
        <v>0.952085383293187</v>
      </c>
      <c r="AQ48" s="48" t="n">
        <f aca="false">COS($E$6*AG48)*SIN($E$6*$E$2) - TAN($E$6*AE48)*COS($E$6*$E$2)</f>
        <v>0.287711446346464</v>
      </c>
      <c r="AR48" s="48" t="n">
        <f aca="false">IF(OR(AND(AP48*AQ48&gt;0), AND(AP48&lt;0,AQ48&gt;0)), MOD(ATAN2(AQ48,AP48)/$E$6+360,360),  ATAN2(AQ48,AP48)/$E$6)</f>
        <v>73.1856659075583</v>
      </c>
      <c r="AS48" s="20" t="n">
        <f aca="false"> 385000.56 + (-20905355*COS(O48) - 3699111*COS(2*Q48-O48) - 2955968*COS(2*Q48) - 569925*COS(2*O48) + (1-0.002516*K48)*48888*COS(P48) - 3149*COS(2*R48)  +246158*COS(2*Q48-2*O48) -(1-0.002516*K48)*152138*COS(2*Q48-P48-O48) -170733*COS(2*Q48+O48) -(1-0.002516*K48)*204586*COS(2*Q48-P48) -(1-0.002516*K48)*129620*COS(P48-O48)  + 108743*COS(Q48) +(1-0.002516*K48)*104755*COS(P48+O48) +10321*COS(2*Q48-2*R48) +79661*COS(O48-2*R48) -34782*COS(4*Q48-O48) -23210*COS(3*O48)  -21636*COS(4*Q48-2*O48) +(1-0.002516*K48)*24208*COS(2*Q48+P48-O48) +(1-0.002516*K48)*30824*COS(2*Q48+P48) -8379*COS(Q48-O48) -(1-0.002516*K48)*16675*COS(Q48+P48)  -(1-0.002516*K48)*12831*COS(2*Q48-P48+O48) -10445*COS(2*Q48+2*O48) -11650*COS(4*Q48) +14403*COS(2*Q48-3*O48) -(1-0.002516*K48)*7003*COS(P48-2*O48)  + (1-0.002516*K48)*10056*COS(2*Q48-P48-2*O48) +6322*COS(Q48+O48) -(1-0.002516*K48)*(1-0.002516*K48)*9884*COS(2*Q48-2*P48) +(1-0.002516*K48)*5751*COS(P48+2*O48) -(1-0.002516*K48)*(1-0.002516*K48)*4950*COS(2*Q48-2*P48-O48)  +4130*COS(2*Q48+O48-2*R48) -(1-0.002516*K48)*3958*COS(4*Q48-P48-O48) +3258*COS(3*Q48-O48) +(1-0.002516*K48)*2616*COS(2*Q48+P48+O48) -(1-0.002516*K48)*1897*COS(4*Q48-P48-2*O48)  -(1-0.002516*K48)*(1-0.002516*K48)*2117*COS(2*P48-O48) +(1-0.002516*K48)*(1-0.002516*K48)*2354*COS(2*Q48+2*P48-O48) -1423*COS(4*Q48+O48) -1117*COS(4*O48) -(1-0.002516*K48)*1571*COS(4*Q48-P48)  -1739*COS(Q48-2*O48) -4421*COS(2*O48-2*R48) +(1-0.002516*K48)*(1-0.002516*K48)*1165*COS(2*P48+O48) +8752*COS(2*Q48-O48-2*R48))/1000</f>
        <v>379282.799676465</v>
      </c>
      <c r="AT48" s="24" t="n">
        <f aca="false">60*ATAN(3476/AS48)/$E$6</f>
        <v>31.5049173038054</v>
      </c>
      <c r="AU48" s="28" t="n">
        <f aca="false">ATAN(0.99664719*TAN($E$6*input!$D$2))</f>
        <v>0.871010436227447</v>
      </c>
      <c r="AV48" s="28" t="n">
        <f aca="false">COS(AU48)</f>
        <v>0.644053912545846</v>
      </c>
      <c r="AW48" s="28" t="n">
        <f aca="false">0.99664719*SIN(AU48)</f>
        <v>0.762415269897027</v>
      </c>
      <c r="AX48" s="28" t="n">
        <f aca="false">6378.14/AS48</f>
        <v>0.0168163175483852</v>
      </c>
      <c r="AY48" s="31" t="n">
        <f aca="false">L48-15*AF48</f>
        <v>-287.808246742994</v>
      </c>
      <c r="AZ48" s="29" t="n">
        <f aca="false">COS($E$6*AE48)*SIN($E$6*AY48)</f>
        <v>0.948813164426218</v>
      </c>
      <c r="BA48" s="29" t="n">
        <f aca="false">COS($E$6*AE48)*COS($E$6*AY48)-AV48*AX48</f>
        <v>0.293950615254166</v>
      </c>
      <c r="BB48" s="29" t="n">
        <f aca="false">SIN($E$6*AE48)-AW48*AX48</f>
        <v>-0.0956580900710568</v>
      </c>
      <c r="BC48" s="45" t="n">
        <f aca="false">SQRT(AZ48^2+BA48^2+BB48^2)</f>
        <v>0.997899722112818</v>
      </c>
      <c r="BD48" s="20" t="n">
        <f aca="false">AS48*BC48</f>
        <v>378486.200399316</v>
      </c>
      <c r="BE48" s="30" t="str">
        <f aca="false">IF(OR(AND(BD48&gt;BD47,BD48&gt;BD49),AND(BD48&lt;BD47,BD48&lt;BD49)),BD48,"")</f>
        <v/>
      </c>
    </row>
    <row r="49" customFormat="false" ht="15" hidden="false" customHeight="false" outlineLevel="0" collapsed="false">
      <c r="A49" s="31" t="n">
        <v>23.5</v>
      </c>
      <c r="B49" s="30" t="n">
        <f aca="false">$B$2</f>
        <v>1</v>
      </c>
      <c r="C49" s="30" t="n">
        <f aca="false">C48</f>
        <v>12</v>
      </c>
      <c r="D49" s="30" t="n">
        <f aca="false">$D$2</f>
        <v>2022</v>
      </c>
      <c r="F49" s="38" t="n">
        <f aca="false">AK49</f>
        <v>2.21730104776966</v>
      </c>
      <c r="G49" s="39" t="n">
        <f aca="false">F49+1.02/(TAN($E$6*(F49+10.3/(F49+5.11)))*60)</f>
        <v>2.48578819891736</v>
      </c>
      <c r="H49" s="38" t="n">
        <f aca="false">100*(1+COS($E$6*AO49))/2</f>
        <v>64.983267851648</v>
      </c>
      <c r="I49" s="38" t="n">
        <f aca="false">IF(AG49&gt;180, AR49-180,AR49+180)</f>
        <v>258.944485803712</v>
      </c>
      <c r="J49" s="31" t="n">
        <f aca="false">INT(365.25*IF(C49&gt;2,D49+4716,D49-1+4716))+INT(30.6001*IF(C49&gt;2,C49+1,C49+12+1))+B49+A49/24+2-INT(IF(C49&gt;2,D49,D49-1)/100)+INT(INT(IF(C49&gt;2,D49,D49-1)/100)/4)-1524.5</f>
        <v>2459915.47916667</v>
      </c>
      <c r="K49" s="47" t="n">
        <f aca="false">(J49-2451545)/36525</f>
        <v>0.229171229751308</v>
      </c>
      <c r="L49" s="31" t="n">
        <f aca="false">MOD(280.46061837+360.98564736629*(J49-2451545)+0.000387933*K49^2-K49^3/38710000+$E$4,360)</f>
        <v>78.3013838981278</v>
      </c>
      <c r="M49" s="28" t="n">
        <f aca="false">0.606433+1336.855225*K49 - INT(0.606433+1336.855225*K49)</f>
        <v>0.975188912711019</v>
      </c>
      <c r="N49" s="31" t="n">
        <f aca="false">22640*SIN(O49)-4586*SIN(O49-2*Q49)+2370*SIN(2*Q49)+769*SIN(2*O49)-668*SIN(P49)-412*SIN(2*R49)-212*SIN(2*O49-2*Q49)-206*SIN(O49+P49-2*Q49)+192*SIN(O49+2*Q49)-165*SIN(P49-2*Q49)-125*SIN(Q49)-110*SIN(O49+P49)+148*SIN(O49-P49)-55*SIN(2*R49-2*Q49)</f>
        <v>21694.5602366111</v>
      </c>
      <c r="O49" s="29" t="n">
        <f aca="false">2*PI()*(0.374897+1325.55241*K49 - INT(0.374897+1325.55241*K49))</f>
        <v>0.963670348717749</v>
      </c>
      <c r="P49" s="32" t="n">
        <f aca="false">2*PI()*(0.993133+99.997361*K49 - INT(0.993133+99.997361*K49))</f>
        <v>5.71550700583783</v>
      </c>
      <c r="Q49" s="32" t="n">
        <f aca="false">2*PI()*(0.827361+1236.853086*K49 - INT(0.827361+1236.853086*K49))</f>
        <v>1.74989060917241</v>
      </c>
      <c r="R49" s="32" t="n">
        <f aca="false">2*PI()*(0.259086+1342.227825*K49 - INT(0.259086+1342.227825*K49))</f>
        <v>5.39780446012847</v>
      </c>
      <c r="S49" s="32" t="n">
        <f aca="false">R49+(N49+412*SIN(2*R49)+541*SIN(P49))/206264.8062</f>
        <v>5.49961478670264</v>
      </c>
      <c r="T49" s="32" t="n">
        <f aca="false">R49-2*Q49</f>
        <v>1.89802324178365</v>
      </c>
      <c r="U49" s="24" t="n">
        <f aca="false">-526*SIN(T49)+44*SIN(O49+T49)-31*SIN(-O49+T49)-23*SIN(P49+T49)+11*SIN(-P49+T49)-25*SIN(-2*O49+R49)+21*SIN(-O49+R49)</f>
        <v>-538.438968679378</v>
      </c>
      <c r="V49" s="32" t="n">
        <f aca="false">2*PI()*(M49+N49/1296000-INT(M49+N49/1296000))</f>
        <v>6.23247084415395</v>
      </c>
      <c r="W49" s="31" t="n">
        <f aca="false">V49/$E$6</f>
        <v>357.094275308359</v>
      </c>
      <c r="X49" s="32" t="n">
        <f aca="false">(18520*SIN(S49)+U49)/206264.8062</f>
        <v>-0.0659836296653954</v>
      </c>
      <c r="Y49" s="32" t="n">
        <f aca="false">COS(X49)*COS(V49)</f>
        <v>0.996540965099505</v>
      </c>
      <c r="Z49" s="32" t="n">
        <f aca="false">COS(X49)*SIN(V49)</f>
        <v>-0.0505824126248268</v>
      </c>
      <c r="AA49" s="32" t="n">
        <f aca="false">SIN(X49)</f>
        <v>-0.0659357597332294</v>
      </c>
      <c r="AB49" s="32" t="n">
        <f aca="false">COS($E$6*(23.4393-46.815*K49/3600))*Z49-SIN($E$6*(23.4393-46.815*K49/3600))*AA49</f>
        <v>-0.0201848978518564</v>
      </c>
      <c r="AC49" s="32" t="n">
        <f aca="false">SIN($E$6*(23.4393-46.815*K49/3600))*Z49+COS($E$6*(23.4393-46.815*K49/3600))*AA49</f>
        <v>-0.0806143583814727</v>
      </c>
      <c r="AD49" s="32" t="n">
        <f aca="false">SQRT(1-AC49*AC49)</f>
        <v>0.996745366291082</v>
      </c>
      <c r="AE49" s="31" t="n">
        <f aca="false">ATAN(AC49/AD49)/$E$6</f>
        <v>-4.62387993785272</v>
      </c>
      <c r="AF49" s="32" t="n">
        <f aca="false">IF(24*ATAN(AB49/(Y49+AD49))/PI()&gt;0,24*ATAN(AB49/(Y49+AD49))/PI(),24*ATAN(AB49/(Y49+AD49))/PI()+24)</f>
        <v>23.9226423279197</v>
      </c>
      <c r="AG49" s="31" t="n">
        <f aca="false">IF(L49-15*AF49&gt;0,L49-15*AF49,360+L49-15*AF49)</f>
        <v>79.4617489793325</v>
      </c>
      <c r="AH49" s="29" t="n">
        <f aca="false">0.950724+0.051818*COS(O49)+0.009531*COS(2*Q49-O49)+0.007843*COS(2*Q49)+0.002824*COS(2*O49)+0.000857*COS(2*Q49+O49)+0.000533*COS(2*Q49-P49)*(1-0.002495*(J49-2415020)/36525)+0.000401*COS(2*Q49-P49-O49)*(1-0.002495*(J49-2415020)/36525)+0.00032*COS(O49-P49)*(1-0.002495*(J49-2415020)/36525)-0.000271*COS(Q49)</f>
        <v>0.963249890201877</v>
      </c>
      <c r="AI49" s="32" t="n">
        <f aca="false">ASIN(COS($E$6*$E$2)*COS($E$6*AE49)*COS($E$6*AG49)+SIN($E$6*$E$2)*SIN($E$6*AE49))/$E$6</f>
        <v>3.177181108309</v>
      </c>
      <c r="AJ49" s="29" t="n">
        <f aca="false">ASIN((0.9983271+0.0016764*COS($E$6*2*$E$2))*COS($E$6*AI49)*SIN($E$6*AH49))/$E$6</f>
        <v>0.959880060539337</v>
      </c>
      <c r="AK49" s="29" t="n">
        <f aca="false">AI49-AJ49</f>
        <v>2.21730104776966</v>
      </c>
      <c r="AL49" s="31" t="n">
        <f aca="false"> MOD(280.4664567 + 360007.6982779*K49/10 + 0.03032028*K49^2/100 + K49^3/49931000,360)</f>
        <v>250.807166052691</v>
      </c>
      <c r="AM49" s="29" t="n">
        <f aca="false"> AL49 + (1.9146 - 0.004817*K49 - 0.000014*K49^2)*SIN(P49)+ (0.019993 - 0.000101*K49)*SIN(2*P49)+ 0.00029*SIN(3*P49)</f>
        <v>249.759931785337</v>
      </c>
      <c r="AN49" s="29" t="n">
        <f aca="false">ACOS(COS(V49-$E$6*AM49)*COS(X49))/$E$6</f>
        <v>107.295431193116</v>
      </c>
      <c r="AO49" s="24" t="n">
        <f aca="false">180 - AN49 -0.1468*(1-0.0549*SIN(P49))*SIN($E$6*AN49)/(1-0.0167*SIN($E$6*AM49))</f>
        <v>72.5624951933418</v>
      </c>
      <c r="AP49" s="48" t="n">
        <f aca="false">SIN($E$6*AG49)</f>
        <v>0.983133026879255</v>
      </c>
      <c r="AQ49" s="48" t="n">
        <f aca="false">COS($E$6*AG49)*SIN($E$6*$E$2) - TAN($E$6*AE49)*COS($E$6*$E$2)</f>
        <v>0.192090442576151</v>
      </c>
      <c r="AR49" s="48" t="n">
        <f aca="false">IF(OR(AND(AP49*AQ49&gt;0), AND(AP49&lt;0,AQ49&gt;0)), MOD(ATAN2(AQ49,AP49)/$E$6+360,360),  ATAN2(AQ49,AP49)/$E$6)</f>
        <v>78.9444858037123</v>
      </c>
      <c r="AS49" s="20" t="n">
        <f aca="false"> 385000.56 + (-20905355*COS(O49) - 3699111*COS(2*Q49-O49) - 2955968*COS(2*Q49) - 569925*COS(2*O49) + (1-0.002516*K49)*48888*COS(P49) - 3149*COS(2*R49)  +246158*COS(2*Q49-2*O49) -(1-0.002516*K49)*152138*COS(2*Q49-P49-O49) -170733*COS(2*Q49+O49) -(1-0.002516*K49)*204586*COS(2*Q49-P49) -(1-0.002516*K49)*129620*COS(P49-O49)  + 108743*COS(Q49) +(1-0.002516*K49)*104755*COS(P49+O49) +10321*COS(2*Q49-2*R49) +79661*COS(O49-2*R49) -34782*COS(4*Q49-O49) -23210*COS(3*O49)  -21636*COS(4*Q49-2*O49) +(1-0.002516*K49)*24208*COS(2*Q49+P49-O49) +(1-0.002516*K49)*30824*COS(2*Q49+P49) -8379*COS(Q49-O49) -(1-0.002516*K49)*16675*COS(Q49+P49)  -(1-0.002516*K49)*12831*COS(2*Q49-P49+O49) -10445*COS(2*Q49+2*O49) -11650*COS(4*Q49) +14403*COS(2*Q49-3*O49) -(1-0.002516*K49)*7003*COS(P49-2*O49)  + (1-0.002516*K49)*10056*COS(2*Q49-P49-2*O49) +6322*COS(Q49+O49) -(1-0.002516*K49)*(1-0.002516*K49)*9884*COS(2*Q49-2*P49) +(1-0.002516*K49)*5751*COS(P49+2*O49) -(1-0.002516*K49)*(1-0.002516*K49)*4950*COS(2*Q49-2*P49-O49)  +4130*COS(2*Q49+O49-2*R49) -(1-0.002516*K49)*3958*COS(4*Q49-P49-O49) +3258*COS(3*Q49-O49) +(1-0.002516*K49)*2616*COS(2*Q49+P49+O49) -(1-0.002516*K49)*1897*COS(4*Q49-P49-2*O49)  -(1-0.002516*K49)*(1-0.002516*K49)*2117*COS(2*P49-O49) +(1-0.002516*K49)*(1-0.002516*K49)*2354*COS(2*Q49+2*P49-O49) -1423*COS(4*Q49+O49) -1117*COS(4*O49) -(1-0.002516*K49)*1571*COS(4*Q49-P49)  -1739*COS(Q49-2*O49) -4421*COS(2*O49-2*R49) +(1-0.002516*K49)*(1-0.002516*K49)*1165*COS(2*P49+O49) +8752*COS(2*Q49-O49-2*R49))/1000</f>
        <v>379365.004313253</v>
      </c>
      <c r="AT49" s="24" t="n">
        <f aca="false">60*ATAN(3476/AS49)/$E$6</f>
        <v>31.4980908825593</v>
      </c>
      <c r="AU49" s="28" t="n">
        <f aca="false">ATAN(0.99664719*TAN($E$6*input!$D$2))</f>
        <v>0.871010436227447</v>
      </c>
      <c r="AV49" s="28" t="n">
        <f aca="false">COS(AU49)</f>
        <v>0.644053912545846</v>
      </c>
      <c r="AW49" s="28" t="n">
        <f aca="false">0.99664719*SIN(AU49)</f>
        <v>0.762415269897027</v>
      </c>
      <c r="AX49" s="28" t="n">
        <f aca="false">6378.14/AS49</f>
        <v>0.0168126736190283</v>
      </c>
      <c r="AY49" s="31" t="n">
        <f aca="false">L49-15*AF49</f>
        <v>-280.538251020668</v>
      </c>
      <c r="AZ49" s="29" t="n">
        <f aca="false">COS($E$6*AE49)*SIN($E$6*AY49)</f>
        <v>0.979933288989624</v>
      </c>
      <c r="BA49" s="29" t="n">
        <f aca="false">COS($E$6*AE49)*COS($E$6*AY49)-AV49*AX49</f>
        <v>0.171468397550419</v>
      </c>
      <c r="BB49" s="29" t="n">
        <f aca="false">SIN($E$6*AE49)-AW49*AX49</f>
        <v>-0.0934325974764148</v>
      </c>
      <c r="BC49" s="45" t="n">
        <f aca="false">SQRT(AZ49^2+BA49^2+BB49^2)</f>
        <v>0.999199836118741</v>
      </c>
      <c r="BD49" s="20" t="n">
        <f aca="false">AS49*BC49</f>
        <v>379061.450138988</v>
      </c>
      <c r="BE49" s="49" t="str">
        <f aca="false">IF(OR(AND(BD49&gt;BD48,BD49&gt;BD50),AND(BD49&lt;BD48,BD49&lt;BD50)),BD49,"")</f>
        <v/>
      </c>
    </row>
    <row r="50" customFormat="false" ht="15" hidden="false" customHeight="false" outlineLevel="0" collapsed="false">
      <c r="A50" s="31" t="n">
        <v>24</v>
      </c>
      <c r="B50" s="30" t="n">
        <f aca="false">$B$2</f>
        <v>1</v>
      </c>
      <c r="C50" s="30" t="n">
        <f aca="false">C49</f>
        <v>12</v>
      </c>
      <c r="D50" s="30" t="n">
        <f aca="false">$D$2</f>
        <v>2022</v>
      </c>
      <c r="F50" s="38" t="n">
        <f aca="false">AK50</f>
        <v>-2.30858813555469</v>
      </c>
      <c r="G50" s="39" t="n">
        <f aca="false">F50+1.02/(TAN($E$6*(F50+10.3/(F50+5.11)))*60)</f>
        <v>-1.59678181502914</v>
      </c>
      <c r="H50" s="38" t="n">
        <f aca="false">100*(1+COS($E$6*AO50))/2</f>
        <v>65.1986243138846</v>
      </c>
      <c r="I50" s="38" t="n">
        <f aca="false">IF(AG50&gt;180, AR50-180,AR50+180)</f>
        <v>264.609086962795</v>
      </c>
      <c r="J50" s="31" t="n">
        <f aca="false">INT(365.25*IF(C50&gt;2,D50+4716,D50-1+4716))+INT(30.6001*IF(C50&gt;2,C50+1,C50+12+1))+B50+A50/24+2-INT(IF(C50&gt;2,D50,D50-1)/100)+INT(INT(IF(C50&gt;2,D50,D50-1)/100)/4)-1524.5</f>
        <v>2459915.5</v>
      </c>
      <c r="K50" s="47" t="n">
        <f aca="false">(J50-2451545)/36525</f>
        <v>0.229171800136893</v>
      </c>
      <c r="L50" s="31" t="n">
        <f aca="false">MOD(280.46061837+360.98564736629*(J50-2451545)+0.000387933*K50^2-K50^3/38710000+$E$4,360)</f>
        <v>85.821918274276</v>
      </c>
      <c r="M50" s="28" t="n">
        <f aca="false">0.606433+1336.855225*K50 - INT(0.606433+1336.855225*K50)</f>
        <v>0.975951435660477</v>
      </c>
      <c r="N50" s="31" t="n">
        <f aca="false">22640*SIN(O50)-4586*SIN(O50-2*Q50)+2370*SIN(2*Q50)+769*SIN(2*O50)-668*SIN(P50)-412*SIN(2*R50)-212*SIN(2*O50-2*Q50)-206*SIN(O50+P50-2*Q50)+192*SIN(O50+2*Q50)-165*SIN(P50-2*Q50)-125*SIN(Q50)-110*SIN(O50+P50)+148*SIN(O50-P50)-55*SIN(2*R50-2*Q50)</f>
        <v>21715.8569911</v>
      </c>
      <c r="O50" s="29" t="n">
        <f aca="false">2*PI()*(0.374897+1325.55241*K50 - INT(0.374897+1325.55241*K50))</f>
        <v>0.968420914248229</v>
      </c>
      <c r="P50" s="32" t="n">
        <f aca="false">2*PI()*(0.993133+99.997361*K50 - INT(0.993133+99.997361*K50))</f>
        <v>5.71586538021273</v>
      </c>
      <c r="Q50" s="32" t="n">
        <f aca="false">2*PI()*(0.827361+1236.853086*K50 - INT(0.827361+1236.853086*K50))</f>
        <v>1.75432329066603</v>
      </c>
      <c r="R50" s="32" t="n">
        <f aca="false">2*PI()*(0.259086+1342.227825*K50 - INT(0.259086+1342.227825*K50))</f>
        <v>5.40261478765078</v>
      </c>
      <c r="S50" s="32" t="n">
        <f aca="false">R50+(N50+412*SIN(2*R50)+541*SIN(P50))/206264.8062</f>
        <v>5.50452542997916</v>
      </c>
      <c r="T50" s="32" t="n">
        <f aca="false">R50-2*Q50</f>
        <v>1.89396820631872</v>
      </c>
      <c r="U50" s="24" t="n">
        <f aca="false">-526*SIN(T50)+44*SIN(O50+T50)-31*SIN(-O50+T50)-23*SIN(P50+T50)+11*SIN(-P50+T50)-25*SIN(-2*O50+R50)+21*SIN(-O50+R50)</f>
        <v>-539.039863582391</v>
      </c>
      <c r="V50" s="32" t="n">
        <f aca="false">2*PI()*(M50+N50/1296000-INT(M50+N50/1296000))</f>
        <v>6.23736516672577</v>
      </c>
      <c r="W50" s="31" t="n">
        <f aca="false">V50/$E$6</f>
        <v>357.374699335299</v>
      </c>
      <c r="X50" s="32" t="n">
        <f aca="false">(18520*SIN(S50)+U50)/206264.8062</f>
        <v>-0.0656734372207351</v>
      </c>
      <c r="Y50" s="32" t="n">
        <f aca="false">COS(X50)*COS(V50)</f>
        <v>0.9967969783648</v>
      </c>
      <c r="Z50" s="32" t="n">
        <f aca="false">COS(X50)*SIN(V50)</f>
        <v>-0.0457053679460507</v>
      </c>
      <c r="AA50" s="32" t="n">
        <f aca="false">SIN(X50)</f>
        <v>-0.0656262391404621</v>
      </c>
      <c r="AB50" s="32" t="n">
        <f aca="false">COS($E$6*(23.4393-46.815*K50/3600))*Z50-SIN($E$6*(23.4393-46.815*K50/3600))*AA50</f>
        <v>-0.015833301748482</v>
      </c>
      <c r="AC50" s="32" t="n">
        <f aca="false">SIN($E$6*(23.4393-46.815*K50/3600))*Z50+COS($E$6*(23.4393-46.815*K50/3600))*AA50</f>
        <v>-0.0783906274917258</v>
      </c>
      <c r="AD50" s="32" t="n">
        <f aca="false">SQRT(1-AC50*AC50)</f>
        <v>0.996922719934426</v>
      </c>
      <c r="AE50" s="31" t="n">
        <f aca="false">ATAN(AC50/AD50)/$E$6</f>
        <v>-4.49606493915941</v>
      </c>
      <c r="AF50" s="32" t="n">
        <f aca="false">IF(24*ATAN(AB50/(Y50+AD50))/PI()&gt;0,24*ATAN(AB50/(Y50+AD50))/PI(),24*ATAN(AB50/(Y50+AD50))/PI()+24)</f>
        <v>23.939332007014</v>
      </c>
      <c r="AG50" s="31" t="n">
        <f aca="false">IF(L50-15*AF50&gt;0,L50-15*AF50,360+L50-15*AF50)</f>
        <v>86.7319381690667</v>
      </c>
      <c r="AH50" s="29" t="n">
        <f aca="false">0.950724+0.051818*COS(O50)+0.009531*COS(2*Q50-O50)+0.007843*COS(2*Q50)+0.002824*COS(2*O50)+0.000857*COS(2*Q50+O50)+0.000533*COS(2*Q50-P50)*(1-0.002495*(J50-2415020)/36525)+0.000401*COS(2*Q50-P50-O50)*(1-0.002495*(J50-2415020)/36525)+0.00032*COS(O50-P50)*(1-0.002495*(J50-2415020)/36525)-0.000271*COS(Q50)</f>
        <v>0.963039374717065</v>
      </c>
      <c r="AI50" s="32" t="n">
        <f aca="false">ASIN(COS($E$6*$E$2)*COS($E$6*AE50)*COS($E$6*AG50)+SIN($E$6*$E$2)*SIN($E$6*AE50))/$E$6</f>
        <v>-1.34770625619858</v>
      </c>
      <c r="AJ50" s="29" t="n">
        <f aca="false">ASIN((0.9983271+0.0016764*COS($E$6*2*$E$2))*COS($E$6*AI50)*SIN($E$6*AH50))/$E$6</f>
        <v>0.960881879356104</v>
      </c>
      <c r="AK50" s="29" t="n">
        <f aca="false">AI50-AJ50</f>
        <v>-2.30858813555469</v>
      </c>
      <c r="AL50" s="31" t="n">
        <f aca="false"> MOD(280.4664567 + 360007.6982779*K50/10 + 0.03032028*K50^2/100 + K50^3/49931000,360)</f>
        <v>250.827700372927</v>
      </c>
      <c r="AM50" s="29" t="n">
        <f aca="false"> AL50 + (1.9146 - 0.004817*K50 - 0.000014*K50^2)*SIN(P50)+ (0.019993 - 0.000101*K50)*SIN(2*P50)+ 0.00029*SIN(3*P50)</f>
        <v>249.781050363623</v>
      </c>
      <c r="AN50" s="29" t="n">
        <f aca="false">ACOS(COS(V50-$E$6*AM50)*COS(X50))/$E$6</f>
        <v>107.554487345895</v>
      </c>
      <c r="AO50" s="24" t="n">
        <f aca="false">180 - AN50 -0.1468*(1-0.0549*SIN(P50))*SIN($E$6*AN50)/(1-0.0167*SIN($E$6*AM50))</f>
        <v>72.3036430951827</v>
      </c>
      <c r="AP50" s="48" t="n">
        <f aca="false">SIN($E$6*AG50)</f>
        <v>0.998373749205224</v>
      </c>
      <c r="AQ50" s="48" t="n">
        <f aca="false">COS($E$6*AG50)*SIN($E$6*$E$2) - TAN($E$6*AE50)*COS($E$6*$E$2)</f>
        <v>0.0942143532674051</v>
      </c>
      <c r="AR50" s="48" t="n">
        <f aca="false">IF(OR(AND(AP50*AQ50&gt;0), AND(AP50&lt;0,AQ50&gt;0)), MOD(ATAN2(AQ50,AP50)/$E$6+360,360),  ATAN2(AQ50,AP50)/$E$6)</f>
        <v>84.6090869627954</v>
      </c>
      <c r="AS50" s="20" t="n">
        <f aca="false"> 385000.56 + (-20905355*COS(O50) - 3699111*COS(2*Q50-O50) - 2955968*COS(2*Q50) - 569925*COS(2*O50) + (1-0.002516*K50)*48888*COS(P50) - 3149*COS(2*R50)  +246158*COS(2*Q50-2*O50) -(1-0.002516*K50)*152138*COS(2*Q50-P50-O50) -170733*COS(2*Q50+O50) -(1-0.002516*K50)*204586*COS(2*Q50-P50) -(1-0.002516*K50)*129620*COS(P50-O50)  + 108743*COS(Q50) +(1-0.002516*K50)*104755*COS(P50+O50) +10321*COS(2*Q50-2*R50) +79661*COS(O50-2*R50) -34782*COS(4*Q50-O50) -23210*COS(3*O50)  -21636*COS(4*Q50-2*O50) +(1-0.002516*K50)*24208*COS(2*Q50+P50-O50) +(1-0.002516*K50)*30824*COS(2*Q50+P50) -8379*COS(Q50-O50) -(1-0.002516*K50)*16675*COS(Q50+P50)  -(1-0.002516*K50)*12831*COS(2*Q50-P50+O50) -10445*COS(2*Q50+2*O50) -11650*COS(4*Q50) +14403*COS(2*Q50-3*O50) -(1-0.002516*K50)*7003*COS(P50-2*O50)  + (1-0.002516*K50)*10056*COS(2*Q50-P50-2*O50) +6322*COS(Q50+O50) -(1-0.002516*K50)*(1-0.002516*K50)*9884*COS(2*Q50-2*P50) +(1-0.002516*K50)*5751*COS(P50+2*O50) -(1-0.002516*K50)*(1-0.002516*K50)*4950*COS(2*Q50-2*P50-O50)  +4130*COS(2*Q50+O50-2*R50) -(1-0.002516*K50)*3958*COS(4*Q50-P50-O50) +3258*COS(3*Q50-O50) +(1-0.002516*K50)*2616*COS(2*Q50+P50+O50) -(1-0.002516*K50)*1897*COS(4*Q50-P50-2*O50)  -(1-0.002516*K50)*(1-0.002516*K50)*2117*COS(2*P50-O50) +(1-0.002516*K50)*(1-0.002516*K50)*2354*COS(2*Q50+2*P50-O50) -1423*COS(4*Q50+O50) -1117*COS(4*O50) -(1-0.002516*K50)*1571*COS(4*Q50-P50)  -1739*COS(Q50-2*O50) -4421*COS(2*O50-2*R50) +(1-0.002516*K50)*(1-0.002516*K50)*1165*COS(2*P50+O50) +8752*COS(2*Q50-O50-2*R50))/1000</f>
        <v>379447.182573205</v>
      </c>
      <c r="AT50" s="24" t="n">
        <f aca="false">60*ATAN(3476/AS50)/$E$6</f>
        <v>31.4912696078167</v>
      </c>
      <c r="AU50" s="28" t="n">
        <f aca="false">ATAN(0.99664719*TAN($E$6*input!$D$2))</f>
        <v>0.871010436227447</v>
      </c>
      <c r="AV50" s="28" t="n">
        <f aca="false">COS(AU50)</f>
        <v>0.644053912545846</v>
      </c>
      <c r="AW50" s="28" t="n">
        <f aca="false">0.99664719*SIN(AU50)</f>
        <v>0.762415269897027</v>
      </c>
      <c r="AX50" s="28" t="n">
        <f aca="false">6378.14/AS50</f>
        <v>0.0168090324369967</v>
      </c>
      <c r="AY50" s="31" t="n">
        <f aca="false">L50-15*AF50</f>
        <v>-273.268061830933</v>
      </c>
      <c r="AZ50" s="29" t="n">
        <f aca="false">COS($E$6*AE50)*SIN($E$6*AY50)</f>
        <v>0.995301473568803</v>
      </c>
      <c r="BA50" s="29" t="n">
        <f aca="false">COS($E$6*AE50)*COS($E$6*AY50)-AV50*AX50</f>
        <v>0.0460061649525269</v>
      </c>
      <c r="BB50" s="29" t="n">
        <f aca="false">SIN($E$6*AE50)-AW50*AX50</f>
        <v>-0.0912060904938865</v>
      </c>
      <c r="BC50" s="45" t="n">
        <f aca="false">SQRT(AZ50^2+BA50^2+BB50^2)</f>
        <v>1.00052993030946</v>
      </c>
      <c r="BD50" s="20" t="n">
        <f aca="false">AS50*BC50</f>
        <v>379648.263136089</v>
      </c>
      <c r="BE50" s="30" t="str">
        <f aca="false">IF(OR(AND(BD50&gt;BD49,BD50&gt;BD51),AND(BD50&lt;BD49,BD50&lt;BD51)),BD50,"")</f>
        <v/>
      </c>
      <c r="BF50" s="0"/>
    </row>
    <row r="51" customFormat="false" ht="15" hidden="false" customHeight="false" outlineLevel="0" collapsed="false">
      <c r="A51" s="31" t="n">
        <v>24.5</v>
      </c>
      <c r="B51" s="23"/>
      <c r="F51" s="38" t="n">
        <f aca="false">AK51</f>
        <v>-6.872417402775</v>
      </c>
      <c r="G51" s="39" t="n">
        <f aca="false">F51+1.02/(TAN($E$6*(F51+10.3/(F51+5.11)))*60)</f>
        <v>-6.94775019230294</v>
      </c>
      <c r="H51" s="38" t="n">
        <f aca="false">100*(1+COS($E$6*AO51))/2</f>
        <v>65.4135714634222</v>
      </c>
      <c r="I51" s="38" t="n">
        <f aca="false">IF(AG51&gt;180, AR51-180,AR51+180)</f>
        <v>270.250781930864</v>
      </c>
      <c r="J51" s="31" t="n">
        <f aca="false">J50+0.5/24</f>
        <v>2459915.52083333</v>
      </c>
      <c r="K51" s="47" t="n">
        <f aca="false">(J51-2451545)/36525</f>
        <v>0.229172370522477</v>
      </c>
      <c r="L51" s="31" t="n">
        <f aca="false">MOD(280.46061837+360.98564736629*(J51-2451545)+0.000387933*K51^2-K51^3/38710000+$E$4,360)</f>
        <v>93.3424526504241</v>
      </c>
      <c r="M51" s="28" t="n">
        <f aca="false">0.606433+1336.855225*K51 - INT(0.606433+1336.855225*K51)</f>
        <v>0.976713958609935</v>
      </c>
      <c r="N51" s="31" t="n">
        <f aca="false">22640*SIN(O51)-4586*SIN(O51-2*Q51)+2370*SIN(2*Q51)+769*SIN(2*O51)-668*SIN(P51)-412*SIN(2*R51)-212*SIN(2*O51-2*Q51)-206*SIN(O51+P51-2*Q51)+192*SIN(O51+2*Q51)-165*SIN(P51-2*Q51)-125*SIN(Q51)-110*SIN(O51+P51)+148*SIN(O51-P51)-55*SIN(2*R51-2*Q51)</f>
        <v>21736.6980849057</v>
      </c>
      <c r="O51" s="29" t="n">
        <f aca="false">2*PI()*(0.374897+1325.55241*K51 - INT(0.374897+1325.55241*K51))</f>
        <v>0.973171479779066</v>
      </c>
      <c r="P51" s="32" t="n">
        <f aca="false">2*PI()*(0.993133+99.997361*K51 - INT(0.993133+99.997361*K51))</f>
        <v>5.71622375458762</v>
      </c>
      <c r="Q51" s="32" t="n">
        <f aca="false">2*PI()*(0.827361+1236.853086*K51 - INT(0.827361+1236.853086*K51))</f>
        <v>1.75875597216001</v>
      </c>
      <c r="R51" s="32" t="n">
        <f aca="false">2*PI()*(0.259086+1342.227825*K51 - INT(0.259086+1342.227825*K51))</f>
        <v>5.40742511517273</v>
      </c>
      <c r="S51" s="32" t="n">
        <f aca="false">R51+(N51+412*SIN(2*R51)+541*SIN(P51))/206264.8062</f>
        <v>5.50943404586693</v>
      </c>
      <c r="T51" s="32" t="n">
        <f aca="false">R51-2*Q51</f>
        <v>1.88991317085271</v>
      </c>
      <c r="U51" s="24" t="n">
        <f aca="false">-526*SIN(T51)+44*SIN(O51+T51)-31*SIN(-O51+T51)-23*SIN(P51+T51)+11*SIN(-P51+T51)-25*SIN(-2*O51+R51)+21*SIN(-O51+R51)</f>
        <v>-539.630647446671</v>
      </c>
      <c r="V51" s="32" t="n">
        <f aca="false">2*PI()*(M51+N51/1296000-INT(M51+N51/1296000))</f>
        <v>6.24225728019225</v>
      </c>
      <c r="W51" s="31" t="n">
        <f aca="false">V51/$E$6</f>
        <v>357.654996789828</v>
      </c>
      <c r="X51" s="32" t="n">
        <f aca="false">(18520*SIN(S51)+U51)/206264.8062</f>
        <v>-0.0653618053100142</v>
      </c>
      <c r="Y51" s="32" t="n">
        <f aca="false">COS(X51)*COS(V51)</f>
        <v>0.997029030975666</v>
      </c>
      <c r="Z51" s="32" t="n">
        <f aca="false">COS(X51)*SIN(V51)</f>
        <v>-0.040829231361237</v>
      </c>
      <c r="AA51" s="32" t="n">
        <f aca="false">SIN(X51)</f>
        <v>-0.0653152758409117</v>
      </c>
      <c r="AB51" s="32" t="n">
        <f aca="false">COS($E$6*(23.4393-46.815*K51/3600))*Z51-SIN($E$6*(23.4393-46.815*K51/3600))*AA51</f>
        <v>-0.0114831126303407</v>
      </c>
      <c r="AC51" s="32" t="n">
        <f aca="false">SIN($E$6*(23.4393-46.815*K51/3600))*Z51+COS($E$6*(23.4393-46.815*K51/3600))*AA51</f>
        <v>-0.0761659340915787</v>
      </c>
      <c r="AD51" s="32" t="n">
        <f aca="false">SQRT(1-AC51*AC51)</f>
        <v>0.997095156183179</v>
      </c>
      <c r="AE51" s="31" t="n">
        <f aca="false">ATAN(AC51/AD51)/$E$6</f>
        <v>-4.36821704854806</v>
      </c>
      <c r="AF51" s="32" t="n">
        <f aca="false">IF(24*ATAN(AB51/(Y51+AD51))/PI()&gt;0,24*ATAN(AB51/(Y51+AD51))/PI(),24*ATAN(AB51/(Y51+AD51))/PI()+24)</f>
        <v>23.9560089840338</v>
      </c>
      <c r="AG51" s="31" t="n">
        <f aca="false">IF(L51-15*AF51&gt;0,L51-15*AF51,360+L51-15*AF51)</f>
        <v>94.0023178899164</v>
      </c>
      <c r="AH51" s="29" t="n">
        <f aca="false">0.950724+0.051818*COS(O51)+0.009531*COS(2*Q51-O51)+0.007843*COS(2*Q51)+0.002824*COS(2*O51)+0.000857*COS(2*Q51+O51)+0.000533*COS(2*Q51-P51)*(1-0.002495*(J51-2415020)/36525)+0.000401*COS(2*Q51-P51-O51)*(1-0.002495*(J51-2415020)/36525)+0.00032*COS(O51-P51)*(1-0.002495*(J51-2415020)/36525)-0.000271*COS(Q51)</f>
        <v>0.96282906064671</v>
      </c>
      <c r="AI51" s="32" t="n">
        <f aca="false">ASIN(COS($E$6*$E$2)*COS($E$6*AE51)*COS($E$6*AG51)+SIN($E$6*$E$2)*SIN($E$6*AE51))/$E$6</f>
        <v>-5.91659891589763</v>
      </c>
      <c r="AJ51" s="29" t="n">
        <f aca="false">ASIN((0.9983271+0.0016764*COS($E$6*2*$E$2))*COS($E$6*AI51)*SIN($E$6*AH51))/$E$6</f>
        <v>0.955818486877372</v>
      </c>
      <c r="AK51" s="29" t="n">
        <f aca="false">AI51-AJ51</f>
        <v>-6.872417402775</v>
      </c>
      <c r="AL51" s="31" t="n">
        <f aca="false"> MOD(280.4664567 + 360007.6982779*K51/10 + 0.03032028*K51^2/100 + K51^3/49931000,360)</f>
        <v>250.848234693161</v>
      </c>
      <c r="AM51" s="29" t="n">
        <f aca="false"> AL51 + (1.9146 - 0.004817*K51 - 0.000014*K51^2)*SIN(P51)+ (0.019993 - 0.000101*K51)*SIN(2*P51)+ 0.00029*SIN(3*P51)</f>
        <v>249.802169083598</v>
      </c>
      <c r="AN51" s="29" t="n">
        <f aca="false">ACOS(COS(V51-$E$6*AM51)*COS(X51))/$E$6</f>
        <v>107.813426926928</v>
      </c>
      <c r="AO51" s="24" t="n">
        <f aca="false">180 - AN51 -0.1468*(1-0.0549*SIN(P51))*SIN($E$6*AN51)/(1-0.0167*SIN($E$6*AM51))</f>
        <v>72.0449103692029</v>
      </c>
      <c r="AP51" s="48" t="n">
        <f aca="false">SIN($E$6*AG51)</f>
        <v>0.997561227458579</v>
      </c>
      <c r="AQ51" s="48" t="n">
        <f aca="false">COS($E$6*AG51)*SIN($E$6*$E$2) - TAN($E$6*AE51)*COS($E$6*$E$2)</f>
        <v>-0.00436632384605012</v>
      </c>
      <c r="AR51" s="48" t="n">
        <f aca="false">IF(OR(AND(AP51*AQ51&gt;0), AND(AP51&lt;0,AQ51&gt;0)), MOD(ATAN2(AQ51,AP51)/$E$6+360,360),  ATAN2(AQ51,AP51)/$E$6)</f>
        <v>90.2507819308638</v>
      </c>
      <c r="AS51" s="20" t="n">
        <f aca="false"> 385000.56 + (-20905355*COS(O51) - 3699111*COS(2*Q51-O51) - 2955968*COS(2*Q51) - 569925*COS(2*O51) + (1-0.002516*K51)*48888*COS(P51) - 3149*COS(2*R51)  +246158*COS(2*Q51-2*O51) -(1-0.002516*K51)*152138*COS(2*Q51-P51-O51) -170733*COS(2*Q51+O51) -(1-0.002516*K51)*204586*COS(2*Q51-P51) -(1-0.002516*K51)*129620*COS(P51-O51)  + 108743*COS(Q51) +(1-0.002516*K51)*104755*COS(P51+O51) +10321*COS(2*Q51-2*R51) +79661*COS(O51-2*R51) -34782*COS(4*Q51-O51) -23210*COS(3*O51)  -21636*COS(4*Q51-2*O51) +(1-0.002516*K51)*24208*COS(2*Q51+P51-O51) +(1-0.002516*K51)*30824*COS(2*Q51+P51) -8379*COS(Q51-O51) -(1-0.002516*K51)*16675*COS(Q51+P51)  -(1-0.002516*K51)*12831*COS(2*Q51-P51+O51) -10445*COS(2*Q51+2*O51) -11650*COS(4*Q51) +14403*COS(2*Q51-3*O51) -(1-0.002516*K51)*7003*COS(P51-2*O51)  + (1-0.002516*K51)*10056*COS(2*Q51-P51-2*O51) +6322*COS(Q51+O51) -(1-0.002516*K51)*(1-0.002516*K51)*9884*COS(2*Q51-2*P51) +(1-0.002516*K51)*5751*COS(P51+2*O51) -(1-0.002516*K51)*(1-0.002516*K51)*4950*COS(2*Q51-2*P51-O51)  +4130*COS(2*Q51+O51-2*R51) -(1-0.002516*K51)*3958*COS(4*Q51-P51-O51) +3258*COS(3*Q51-O51) +(1-0.002516*K51)*2616*COS(2*Q51+P51+O51) -(1-0.002516*K51)*1897*COS(4*Q51-P51-2*O51)  -(1-0.002516*K51)*(1-0.002516*K51)*2117*COS(2*P51-O51) +(1-0.002516*K51)*(1-0.002516*K51)*2354*COS(2*Q51+2*P51-O51) -1423*COS(4*Q51+O51) -1117*COS(4*O51) -(1-0.002516*K51)*1571*COS(4*Q51-P51)  -1739*COS(Q51-2*O51) -4421*COS(2*O51-2*R51) +(1-0.002516*K51)*(1-0.002516*K51)*1165*COS(2*P51+O51) +8752*COS(2*Q51-O51-2*R51))/1000</f>
        <v>379529.33329386</v>
      </c>
      <c r="AT51" s="24" t="n">
        <f aca="false">60*ATAN(3476/AS51)/$E$6</f>
        <v>31.4844535712411</v>
      </c>
      <c r="AU51" s="28" t="n">
        <f aca="false">ATAN(0.99664719*TAN($E$6*input!$D$2))</f>
        <v>0.871010436227447</v>
      </c>
      <c r="AV51" s="28" t="n">
        <f aca="false">COS(AU51)</f>
        <v>0.644053912545846</v>
      </c>
      <c r="AW51" s="28" t="n">
        <f aca="false">0.99664719*SIN(AU51)</f>
        <v>0.762415269897027</v>
      </c>
      <c r="AX51" s="28" t="n">
        <f aca="false">6378.14/AS51</f>
        <v>0.0168053940512197</v>
      </c>
      <c r="AY51" s="31" t="n">
        <f aca="false">L51-15*AF51</f>
        <v>-265.997682110084</v>
      </c>
      <c r="AZ51" s="29" t="n">
        <f aca="false">COS($E$6*AE51)*SIN($E$6*AY51)</f>
        <v>0.994663467895096</v>
      </c>
      <c r="BA51" s="29" t="n">
        <f aca="false">COS($E$6*AE51)*COS($E$6*AY51)-AV51*AX51</f>
        <v>-0.0804176608525302</v>
      </c>
      <c r="BB51" s="29" t="n">
        <f aca="false">SIN($E$6*AE51)-AW51*AX51</f>
        <v>-0.0889786231328653</v>
      </c>
      <c r="BC51" s="45" t="n">
        <f aca="false">SQRT(AZ51^2+BA51^2+BB51^2)</f>
        <v>1.00186806013402</v>
      </c>
      <c r="BD51" s="20" t="n">
        <f aca="false">AS51*BC51</f>
        <v>380238.316911078</v>
      </c>
      <c r="BE51" s="30" t="str">
        <f aca="false">IF(OR(AND(BD51&gt;BD50,BD51&gt;BD52),AND(BD51&lt;BD50,BD51&lt;BD52)),BD51,"")</f>
        <v/>
      </c>
    </row>
    <row r="52" customFormat="false" ht="15" hidden="false" customHeight="false" outlineLevel="0" collapsed="false">
      <c r="A52" s="31" t="n">
        <v>25</v>
      </c>
      <c r="F52" s="38" t="n">
        <f aca="false">AK52</f>
        <v>-11.4281145793625</v>
      </c>
      <c r="G52" s="39" t="n">
        <f aca="false">F52+1.02/(TAN($E$6*(F52+10.3/(F52+5.11)))*60)</f>
        <v>-11.5014090547761</v>
      </c>
      <c r="H52" s="38" t="n">
        <f aca="false">100*(1+COS($E$6*AO52))/2</f>
        <v>65.6281055166549</v>
      </c>
      <c r="I52" s="38" t="n">
        <f aca="false">IF(AG52&gt;180, AR52-180,AR52+180)</f>
        <v>275.942964640374</v>
      </c>
      <c r="J52" s="31" t="n">
        <f aca="false">J51+0.5/24</f>
        <v>2459915.54166667</v>
      </c>
      <c r="K52" s="47" t="n">
        <f aca="false">(J52-2451545)/36525</f>
        <v>0.229172940908062</v>
      </c>
      <c r="L52" s="31" t="n">
        <f aca="false">MOD(280.46061837+360.98564736629*(J52-2451545)+0.000387933*K52^2-K52^3/38710000+$E$4,360)</f>
        <v>100.862987027038</v>
      </c>
      <c r="M52" s="28" t="n">
        <f aca="false">0.606433+1336.855225*K52 - INT(0.606433+1336.855225*K52)</f>
        <v>0.977476481559393</v>
      </c>
      <c r="N52" s="31" t="n">
        <f aca="false">22640*SIN(O52)-4586*SIN(O52-2*Q52)+2370*SIN(2*Q52)+769*SIN(2*O52)-668*SIN(P52)-412*SIN(2*R52)-212*SIN(2*O52-2*Q52)-206*SIN(O52+P52-2*Q52)+192*SIN(O52+2*Q52)-165*SIN(P52-2*Q52)-125*SIN(Q52)-110*SIN(O52+P52)+148*SIN(O52-P52)-55*SIN(2*R52-2*Q52)</f>
        <v>21757.0843131699</v>
      </c>
      <c r="O52" s="29" t="n">
        <f aca="false">2*PI()*(0.374897+1325.55241*K52 - INT(0.374897+1325.55241*K52))</f>
        <v>0.977922045309903</v>
      </c>
      <c r="P52" s="32" t="n">
        <f aca="false">2*PI()*(0.993133+99.997361*K52 - INT(0.993133+99.997361*K52))</f>
        <v>5.71658212896252</v>
      </c>
      <c r="Q52" s="32" t="n">
        <f aca="false">2*PI()*(0.827361+1236.853086*K52 - INT(0.827361+1236.853086*K52))</f>
        <v>1.76318865365398</v>
      </c>
      <c r="R52" s="32" t="n">
        <f aca="false">2*PI()*(0.259086+1342.227825*K52 - INT(0.259086+1342.227825*K52))</f>
        <v>5.41223544269503</v>
      </c>
      <c r="S52" s="32" t="n">
        <f aca="false">R52+(N52+412*SIN(2*R52)+541*SIN(P52))/206264.8062</f>
        <v>5.51434063854962</v>
      </c>
      <c r="T52" s="32" t="n">
        <f aca="false">R52-2*Q52</f>
        <v>1.88585813538707</v>
      </c>
      <c r="U52" s="24" t="n">
        <f aca="false">-526*SIN(T52)+44*SIN(O52+T52)-31*SIN(-O52+T52)-23*SIN(P52+T52)+11*SIN(-P52+T52)-25*SIN(-2*O52+R52)+21*SIN(-O52+R52)</f>
        <v>-540.211320559269</v>
      </c>
      <c r="V52" s="32" t="n">
        <f aca="false">2*PI()*(M52+N52/1296000-INT(M52+N52/1296000))</f>
        <v>6.24714718840836</v>
      </c>
      <c r="W52" s="31" t="n">
        <f aca="false">V52/$E$6</f>
        <v>357.935167892817</v>
      </c>
      <c r="X52" s="32" t="n">
        <f aca="false">(18520*SIN(S52)+U52)/206264.8062</f>
        <v>-0.065048743120216</v>
      </c>
      <c r="Y52" s="32" t="n">
        <f aca="false">COS(X52)*COS(V52)</f>
        <v>0.997237146914795</v>
      </c>
      <c r="Z52" s="32" t="n">
        <f aca="false">COS(X52)*SIN(V52)</f>
        <v>-0.0359541171801145</v>
      </c>
      <c r="AA52" s="32" t="n">
        <f aca="false">SIN(X52)</f>
        <v>-0.0650028789442247</v>
      </c>
      <c r="AB52" s="32" t="n">
        <f aca="false">COS($E$6*(23.4393-46.815*K52/3600))*Z52-SIN($E$6*(23.4393-46.815*K52/3600))*AA52</f>
        <v>-0.00713443175374027</v>
      </c>
      <c r="AC52" s="32" t="n">
        <f aca="false">SIN($E$6*(23.4393-46.815*K52/3600))*Z52+COS($E$6*(23.4393-46.815*K52/3600))*AA52</f>
        <v>-0.0739403320035159</v>
      </c>
      <c r="AD52" s="32" t="n">
        <f aca="false">SQRT(1-AC52*AC52)</f>
        <v>0.997262667156056</v>
      </c>
      <c r="AE52" s="31" t="n">
        <f aca="false">ATAN(AC52/AD52)/$E$6</f>
        <v>-4.24033873895398</v>
      </c>
      <c r="AF52" s="32" t="n">
        <f aca="false">IF(24*ATAN(AB52/(Y52+AD52))/PI()&gt;0,24*ATAN(AB52/(Y52+AD52))/PI(),24*ATAN(AB52/(Y52+AD52))/PI()+24)</f>
        <v>23.9726734437453</v>
      </c>
      <c r="AG52" s="31" t="n">
        <f aca="false">IF(L52-15*AF52&gt;0,L52-15*AF52,360+L52-15*AF52)</f>
        <v>101.272885370858</v>
      </c>
      <c r="AH52" s="29" t="n">
        <f aca="false">0.950724+0.051818*COS(O52)+0.009531*COS(2*Q52-O52)+0.007843*COS(2*Q52)+0.002824*COS(2*O52)+0.000857*COS(2*Q52+O52)+0.000533*COS(2*Q52-P52)*(1-0.002495*(J52-2415020)/36525)+0.000401*COS(2*Q52-P52-O52)*(1-0.002495*(J52-2415020)/36525)+0.00032*COS(O52-P52)*(1-0.002495*(J52-2415020)/36525)-0.000271*COS(Q52)</f>
        <v>0.962618950857765</v>
      </c>
      <c r="AI52" s="32" t="n">
        <f aca="false">ASIN(COS($E$6*$E$2)*COS($E$6*AE52)*COS($E$6*AG52)+SIN($E$6*$E$2)*SIN($E$6*AE52))/$E$6</f>
        <v>-10.483424731626</v>
      </c>
      <c r="AJ52" s="29" t="n">
        <f aca="false">ASIN((0.9983271+0.0016764*COS($E$6*2*$E$2))*COS($E$6*AI52)*SIN($E$6*AH52))/$E$6</f>
        <v>0.944689847736513</v>
      </c>
      <c r="AK52" s="29" t="n">
        <f aca="false">AI52-AJ52</f>
        <v>-11.4281145793625</v>
      </c>
      <c r="AL52" s="31" t="n">
        <f aca="false"> MOD(280.4664567 + 360007.6982779*K52/10 + 0.03032028*K52^2/100 + K52^3/49931000,360)</f>
        <v>250.868769013396</v>
      </c>
      <c r="AM52" s="29" t="n">
        <f aca="false"> AL52 + (1.9146 - 0.004817*K52 - 0.000014*K52^2)*SIN(P52)+ (0.019993 - 0.000101*K52)*SIN(2*P52)+ 0.00029*SIN(3*P52)</f>
        <v>249.823287945187</v>
      </c>
      <c r="AN52" s="29" t="n">
        <f aca="false">ACOS(COS(V52-$E$6*AM52)*COS(X52))/$E$6</f>
        <v>108.072250130268</v>
      </c>
      <c r="AO52" s="24" t="n">
        <f aca="false">180 - AN52 -0.1468*(1-0.0549*SIN(P52))*SIN($E$6*AN52)/(1-0.0167*SIN($E$6*AM52))</f>
        <v>71.7862968132679</v>
      </c>
      <c r="AP52" s="48" t="n">
        <f aca="false">SIN($E$6*AG52)</f>
        <v>0.980707278201951</v>
      </c>
      <c r="AQ52" s="48" t="n">
        <f aca="false">COS($E$6*AG52)*SIN($E$6*$E$2) - TAN($E$6*AE52)*COS($E$6*$E$2)</f>
        <v>-0.102089557111404</v>
      </c>
      <c r="AR52" s="48" t="n">
        <f aca="false">IF(OR(AND(AP52*AQ52&gt;0), AND(AP52&lt;0,AQ52&gt;0)), MOD(ATAN2(AQ52,AP52)/$E$6+360,360),  ATAN2(AQ52,AP52)/$E$6)</f>
        <v>95.9429646403745</v>
      </c>
      <c r="AS52" s="20" t="n">
        <f aca="false"> 385000.56 + (-20905355*COS(O52) - 3699111*COS(2*Q52-O52) - 2955968*COS(2*Q52) - 569925*COS(2*O52) + (1-0.002516*K52)*48888*COS(P52) - 3149*COS(2*R52)  +246158*COS(2*Q52-2*O52) -(1-0.002516*K52)*152138*COS(2*Q52-P52-O52) -170733*COS(2*Q52+O52) -(1-0.002516*K52)*204586*COS(2*Q52-P52) -(1-0.002516*K52)*129620*COS(P52-O52)  + 108743*COS(Q52) +(1-0.002516*K52)*104755*COS(P52+O52) +10321*COS(2*Q52-2*R52) +79661*COS(O52-2*R52) -34782*COS(4*Q52-O52) -23210*COS(3*O52)  -21636*COS(4*Q52-2*O52) +(1-0.002516*K52)*24208*COS(2*Q52+P52-O52) +(1-0.002516*K52)*30824*COS(2*Q52+P52) -8379*COS(Q52-O52) -(1-0.002516*K52)*16675*COS(Q52+P52)  -(1-0.002516*K52)*12831*COS(2*Q52-P52+O52) -10445*COS(2*Q52+2*O52) -11650*COS(4*Q52) +14403*COS(2*Q52-3*O52) -(1-0.002516*K52)*7003*COS(P52-2*O52)  + (1-0.002516*K52)*10056*COS(2*Q52-P52-2*O52) +6322*COS(Q52+O52) -(1-0.002516*K52)*(1-0.002516*K52)*9884*COS(2*Q52-2*P52) +(1-0.002516*K52)*5751*COS(P52+2*O52) -(1-0.002516*K52)*(1-0.002516*K52)*4950*COS(2*Q52-2*P52-O52)  +4130*COS(2*Q52+O52-2*R52) -(1-0.002516*K52)*3958*COS(4*Q52-P52-O52) +3258*COS(3*Q52-O52) +(1-0.002516*K52)*2616*COS(2*Q52+P52+O52) -(1-0.002516*K52)*1897*COS(4*Q52-P52-2*O52)  -(1-0.002516*K52)*(1-0.002516*K52)*2117*COS(2*P52-O52) +(1-0.002516*K52)*(1-0.002516*K52)*2354*COS(2*Q52+2*P52-O52) -1423*COS(4*Q52+O52) -1117*COS(4*O52) -(1-0.002516*K52)*1571*COS(4*Q52-P52)  -1739*COS(Q52-2*O52) -4421*COS(2*O52-2*R52) +(1-0.002516*K52)*(1-0.002516*K52)*1165*COS(2*P52+O52) +8752*COS(2*Q52-O52-2*R52))/1000</f>
        <v>379611.45532807</v>
      </c>
      <c r="AT52" s="24" t="n">
        <f aca="false">60*ATAN(3476/AS52)/$E$6</f>
        <v>31.4776428630656</v>
      </c>
      <c r="AU52" s="28" t="n">
        <f aca="false">ATAN(0.99664719*TAN($E$6*input!$D$2))</f>
        <v>0.871010436227447</v>
      </c>
      <c r="AV52" s="28" t="n">
        <f aca="false">COS(AU52)</f>
        <v>0.644053912545846</v>
      </c>
      <c r="AW52" s="28" t="n">
        <f aca="false">0.99664719*SIN(AU52)</f>
        <v>0.762415269897027</v>
      </c>
      <c r="AX52" s="28" t="n">
        <f aca="false">6378.14/AS52</f>
        <v>0.0168017585098633</v>
      </c>
      <c r="AY52" s="31" t="n">
        <f aca="false">L52-15*AF52</f>
        <v>-258.727114629142</v>
      </c>
      <c r="AZ52" s="29" t="n">
        <f aca="false">COS($E$6*AE52)*SIN($E$6*AY52)</f>
        <v>0.978022755959034</v>
      </c>
      <c r="BA52" s="29" t="n">
        <f aca="false">COS($E$6*AE52)*COS($E$6*AY52)-AV52*AX52</f>
        <v>-0.205768195526364</v>
      </c>
      <c r="BB52" s="29" t="n">
        <f aca="false">SIN($E$6*AE52)-AW52*AX52</f>
        <v>-0.086750249252558</v>
      </c>
      <c r="BC52" s="45" t="n">
        <f aca="false">SQRT(AZ52^2+BA52^2+BB52^2)</f>
        <v>1.00319223841159</v>
      </c>
      <c r="BD52" s="20" t="n">
        <f aca="false">AS52*BC52</f>
        <v>380823.265597249</v>
      </c>
      <c r="BE52" s="30" t="str">
        <f aca="false">IF(OR(AND(BD52&gt;BD51,BD52&gt;BD53),AND(BD52&lt;BD51,BD52&lt;BD53)),BD52,"")</f>
        <v/>
      </c>
    </row>
    <row r="53" customFormat="false" ht="15" hidden="false" customHeight="false" outlineLevel="0" collapsed="false">
      <c r="A53" s="31" t="n">
        <v>25.5</v>
      </c>
      <c r="F53" s="38" t="n">
        <f aca="false">AK53</f>
        <v>-15.9286335555273</v>
      </c>
      <c r="G53" s="39" t="n">
        <f aca="false">F53+1.02/(TAN($E$6*(F53+10.3/(F53+5.11)))*60)</f>
        <v>-15.9846550002619</v>
      </c>
      <c r="H53" s="38" t="n">
        <f aca="false">100*(1+COS($E$6*AO53))/2</f>
        <v>65.8422227079095</v>
      </c>
      <c r="I53" s="38" t="n">
        <f aca="false">IF(AG53&gt;180, AR53-180,AR53+180)</f>
        <v>281.761910571889</v>
      </c>
      <c r="J53" s="31" t="n">
        <f aca="false">J52+0.5/24</f>
        <v>2459915.5625</v>
      </c>
      <c r="K53" s="47" t="n">
        <f aca="false">(J53-2451545)/36525</f>
        <v>0.229173511293647</v>
      </c>
      <c r="L53" s="31" t="n">
        <f aca="false">MOD(280.46061837+360.98564736629*(J53-2451545)+0.000387933*K53^2-K53^3/38710000+$E$4,360)</f>
        <v>108.383521403186</v>
      </c>
      <c r="M53" s="28" t="n">
        <f aca="false">0.606433+1336.855225*K53 - INT(0.606433+1336.855225*K53)</f>
        <v>0.978239004508794</v>
      </c>
      <c r="N53" s="31" t="n">
        <f aca="false">22640*SIN(O53)-4586*SIN(O53-2*Q53)+2370*SIN(2*Q53)+769*SIN(2*O53)-668*SIN(P53)-412*SIN(2*R53)-212*SIN(2*O53-2*Q53)-206*SIN(O53+P53-2*Q53)+192*SIN(O53+2*Q53)-165*SIN(P53-2*Q53)-125*SIN(Q53)-110*SIN(O53+P53)+148*SIN(O53-P53)-55*SIN(2*R53-2*Q53)</f>
        <v>21777.0164780815</v>
      </c>
      <c r="O53" s="29" t="n">
        <f aca="false">2*PI()*(0.374897+1325.55241*K53 - INT(0.374897+1325.55241*K53))</f>
        <v>0.98267261084074</v>
      </c>
      <c r="P53" s="32" t="n">
        <f aca="false">2*PI()*(0.993133+99.997361*K53 - INT(0.993133+99.997361*K53))</f>
        <v>5.71694050333744</v>
      </c>
      <c r="Q53" s="32" t="n">
        <f aca="false">2*PI()*(0.827361+1236.853086*K53 - INT(0.827361+1236.853086*K53))</f>
        <v>1.7676213351476</v>
      </c>
      <c r="R53" s="32" t="n">
        <f aca="false">2*PI()*(0.259086+1342.227825*K53 - INT(0.259086+1342.227825*K53))</f>
        <v>5.41704577021698</v>
      </c>
      <c r="S53" s="32" t="n">
        <f aca="false">R53+(N53+412*SIN(2*R53)+541*SIN(P53))/206264.8062</f>
        <v>5.5192452122268</v>
      </c>
      <c r="T53" s="32" t="n">
        <f aca="false">R53-2*Q53</f>
        <v>1.88180309992178</v>
      </c>
      <c r="U53" s="24" t="n">
        <f aca="false">-526*SIN(T53)+44*SIN(O53+T53)-31*SIN(-O53+T53)-23*SIN(P53+T53)+11*SIN(-P53+T53)-25*SIN(-2*O53+R53)+21*SIN(-O53+R53)</f>
        <v>-540.781883488096</v>
      </c>
      <c r="V53" s="32" t="n">
        <f aca="false">2*PI()*(M53+N53/1296000-INT(M53+N53/1296000))</f>
        <v>6.25203489526286</v>
      </c>
      <c r="W53" s="31" t="n">
        <f aca="false">V53/$E$6</f>
        <v>358.215212867077</v>
      </c>
      <c r="X53" s="32" t="n">
        <f aca="false">(18520*SIN(S53)+U53)/206264.8062</f>
        <v>-0.0647342598503508</v>
      </c>
      <c r="Y53" s="32" t="n">
        <f aca="false">COS(X53)*COS(V53)</f>
        <v>0.997421350665448</v>
      </c>
      <c r="Z53" s="32" t="n">
        <f aca="false">COS(X53)*SIN(V53)</f>
        <v>-0.0310801394302122</v>
      </c>
      <c r="AA53" s="32" t="n">
        <f aca="false">SIN(X53)</f>
        <v>-0.0646890575732337</v>
      </c>
      <c r="AB53" s="32" t="n">
        <f aca="false">COS($E$6*(23.4393-46.815*K53/3600))*Z53-SIN($E$6*(23.4393-46.815*K53/3600))*AA53</f>
        <v>-0.00278736011082432</v>
      </c>
      <c r="AC53" s="32" t="n">
        <f aca="false">SIN($E$6*(23.4393-46.815*K53/3600))*Z53+COS($E$6*(23.4393-46.815*K53/3600))*AA53</f>
        <v>-0.0717138749498809</v>
      </c>
      <c r="AD53" s="32" t="n">
        <f aca="false">SQRT(1-AC53*AC53)</f>
        <v>0.997425245389183</v>
      </c>
      <c r="AE53" s="31" t="n">
        <f aca="false">ATAN(AC53/AD53)/$E$6</f>
        <v>-4.11243247486095</v>
      </c>
      <c r="AF53" s="32" t="n">
        <f aca="false">IF(24*ATAN(AB53/(Y53+AD53))/PI()&gt;0,24*ATAN(AB53/(Y53+AD53))/PI(),24*ATAN(AB53/(Y53+AD53))/PI()+24)</f>
        <v>23.9893255707505</v>
      </c>
      <c r="AG53" s="31" t="n">
        <f aca="false">IF(L53-15*AF53&gt;0,L53-15*AF53,360+L53-15*AF53)</f>
        <v>108.543637841928</v>
      </c>
      <c r="AH53" s="29" t="n">
        <f aca="false">0.950724+0.051818*COS(O53)+0.009531*COS(2*Q53-O53)+0.007843*COS(2*Q53)+0.002824*COS(2*O53)+0.000857*COS(2*Q53+O53)+0.000533*COS(2*Q53-P53)*(1-0.002495*(J53-2415020)/36525)+0.000401*COS(2*Q53-P53-O53)*(1-0.002495*(J53-2415020)/36525)+0.00032*COS(O53-P53)*(1-0.002495*(J53-2415020)/36525)-0.000271*COS(Q53)</f>
        <v>0.962409048168085</v>
      </c>
      <c r="AI53" s="32" t="n">
        <f aca="false">ASIN(COS($E$6*$E$2)*COS($E$6*AE53)*COS($E$6*AG53)+SIN($E$6*$E$2)*SIN($E$6*AE53))/$E$6</f>
        <v>-15.0008503419154</v>
      </c>
      <c r="AJ53" s="29" t="n">
        <f aca="false">ASIN((0.9983271+0.0016764*COS($E$6*2*$E$2))*COS($E$6*AI53)*SIN($E$6*AH53))/$E$6</f>
        <v>0.927783213611842</v>
      </c>
      <c r="AK53" s="29" t="n">
        <f aca="false">AI53-AJ53</f>
        <v>-15.9286335555273</v>
      </c>
      <c r="AL53" s="31" t="n">
        <f aca="false"> MOD(280.4664567 + 360007.6982779*K53/10 + 0.03032028*K53^2/100 + K53^3/49931000,360)</f>
        <v>250.889303333632</v>
      </c>
      <c r="AM53" s="29" t="n">
        <f aca="false"> AL53 + (1.9146 - 0.004817*K53 - 0.000014*K53^2)*SIN(P53)+ (0.019993 - 0.000101*K53)*SIN(2*P53)+ 0.00029*SIN(3*P53)</f>
        <v>249.844406948314</v>
      </c>
      <c r="AN53" s="29" t="n">
        <f aca="false">ACOS(COS(V53-$E$6*AM53)*COS(X53))/$E$6</f>
        <v>108.330957150673</v>
      </c>
      <c r="AO53" s="24" t="n">
        <f aca="false">180 - AN53 -0.1468*(1-0.0549*SIN(P53))*SIN($E$6*AN53)/(1-0.0167*SIN($E$6*AM53))</f>
        <v>71.5278022245035</v>
      </c>
      <c r="AP53" s="48" t="n">
        <f aca="false">SIN($E$6*AG53)</f>
        <v>0.94808171333397</v>
      </c>
      <c r="AQ53" s="48" t="n">
        <f aca="false">COS($E$6*AG53)*SIN($E$6*$E$2) - TAN($E$6*AE53)*COS($E$6*$E$2)</f>
        <v>-0.197406901610757</v>
      </c>
      <c r="AR53" s="48" t="n">
        <f aca="false">IF(OR(AND(AP53*AQ53&gt;0), AND(AP53&lt;0,AQ53&gt;0)), MOD(ATAN2(AQ53,AP53)/$E$6+360,360),  ATAN2(AQ53,AP53)/$E$6)</f>
        <v>101.761910571889</v>
      </c>
      <c r="AS53" s="20" t="n">
        <f aca="false"> 385000.56 + (-20905355*COS(O53) - 3699111*COS(2*Q53-O53) - 2955968*COS(2*Q53) - 569925*COS(2*O53) + (1-0.002516*K53)*48888*COS(P53) - 3149*COS(2*R53)  +246158*COS(2*Q53-2*O53) -(1-0.002516*K53)*152138*COS(2*Q53-P53-O53) -170733*COS(2*Q53+O53) -(1-0.002516*K53)*204586*COS(2*Q53-P53) -(1-0.002516*K53)*129620*COS(P53-O53)  + 108743*COS(Q53) +(1-0.002516*K53)*104755*COS(P53+O53) +10321*COS(2*Q53-2*R53) +79661*COS(O53-2*R53) -34782*COS(4*Q53-O53) -23210*COS(3*O53)  -21636*COS(4*Q53-2*O53) +(1-0.002516*K53)*24208*COS(2*Q53+P53-O53) +(1-0.002516*K53)*30824*COS(2*Q53+P53) -8379*COS(Q53-O53) -(1-0.002516*K53)*16675*COS(Q53+P53)  -(1-0.002516*K53)*12831*COS(2*Q53-P53+O53) -10445*COS(2*Q53+2*O53) -11650*COS(4*Q53) +14403*COS(2*Q53-3*O53) -(1-0.002516*K53)*7003*COS(P53-2*O53)  + (1-0.002516*K53)*10056*COS(2*Q53-P53-2*O53) +6322*COS(Q53+O53) -(1-0.002516*K53)*(1-0.002516*K53)*9884*COS(2*Q53-2*P53) +(1-0.002516*K53)*5751*COS(P53+2*O53) -(1-0.002516*K53)*(1-0.002516*K53)*4950*COS(2*Q53-2*P53-O53)  +4130*COS(2*Q53+O53-2*R53) -(1-0.002516*K53)*3958*COS(4*Q53-P53-O53) +3258*COS(3*Q53-O53) +(1-0.002516*K53)*2616*COS(2*Q53+P53+O53) -(1-0.002516*K53)*1897*COS(4*Q53-P53-2*O53)  -(1-0.002516*K53)*(1-0.002516*K53)*2117*COS(2*P53-O53) +(1-0.002516*K53)*(1-0.002516*K53)*2354*COS(2*Q53+2*P53-O53) -1423*COS(4*Q53+O53) -1117*COS(4*O53) -(1-0.002516*K53)*1571*COS(4*Q53-P53)  -1739*COS(Q53-2*O53) -4421*COS(2*O53-2*R53) +(1-0.002516*K53)*(1-0.002516*K53)*1165*COS(2*P53+O53) +8752*COS(2*Q53-O53-2*R53))/1000</f>
        <v>379693.547542131</v>
      </c>
      <c r="AT53" s="24" t="n">
        <f aca="false">60*ATAN(3476/AS53)/$E$6</f>
        <v>31.4708375722516</v>
      </c>
      <c r="AU53" s="28" t="n">
        <f aca="false">ATAN(0.99664719*TAN($E$6*input!$D$2))</f>
        <v>0.871010436227447</v>
      </c>
      <c r="AV53" s="28" t="n">
        <f aca="false">COS(AU53)</f>
        <v>0.644053912545846</v>
      </c>
      <c r="AW53" s="28" t="n">
        <f aca="false">0.99664719*SIN(AU53)</f>
        <v>0.762415269897027</v>
      </c>
      <c r="AX53" s="28" t="n">
        <f aca="false">6378.14/AS53</f>
        <v>0.0167981258604145</v>
      </c>
      <c r="AY53" s="31" t="n">
        <f aca="false">L53-15*AF53</f>
        <v>-251.456362158072</v>
      </c>
      <c r="AZ53" s="29" t="n">
        <f aca="false">COS($E$6*AE53)*SIN($E$6*AY53)</f>
        <v>0.945640635571132</v>
      </c>
      <c r="BA53" s="29" t="n">
        <f aca="false">COS($E$6*AE53)*COS($E$6*AY53)-AV53*AX53</f>
        <v>-0.328026888016228</v>
      </c>
      <c r="BB53" s="29" t="n">
        <f aca="false">SIN($E$6*AE53)-AW53*AX53</f>
        <v>-0.0845210226115131</v>
      </c>
      <c r="BC53" s="45" t="n">
        <f aca="false">SQRT(AZ53^2+BA53^2+BB53^2)</f>
        <v>1.00448078835201</v>
      </c>
      <c r="BD53" s="20" t="n">
        <f aca="false">AS53*BC53</f>
        <v>381394.873967292</v>
      </c>
      <c r="BE53" s="30" t="str">
        <f aca="false">IF(OR(AND(BD53&gt;BD52,BD53&gt;BD54),AND(BD53&lt;BD52,BD53&lt;BD54)),BD53,"")</f>
        <v/>
      </c>
    </row>
    <row r="54" customFormat="false" ht="15" hidden="false" customHeight="false" outlineLevel="0" collapsed="false">
      <c r="A54" s="31" t="n">
        <v>26</v>
      </c>
      <c r="F54" s="38" t="n">
        <f aca="false">AK54</f>
        <v>-20.3239323493236</v>
      </c>
      <c r="G54" s="39" t="n">
        <f aca="false">F54+1.02/(TAN($E$6*(F54+10.3/(F54+5.11)))*60)</f>
        <v>-20.3682166840312</v>
      </c>
      <c r="H54" s="38" t="n">
        <f aca="false">100*(1+COS($E$6*AO54))/2</f>
        <v>66.0559192894917</v>
      </c>
      <c r="I54" s="38" t="n">
        <f aca="false">IF(AG54&gt;180, AR54-180,AR54+180)</f>
        <v>287.787491320714</v>
      </c>
      <c r="J54" s="31" t="n">
        <f aca="false">J53+0.5/24</f>
        <v>2459915.58333333</v>
      </c>
      <c r="K54" s="47" t="n">
        <f aca="false">(J54-2451545)/36525</f>
        <v>0.229174081679232</v>
      </c>
      <c r="L54" s="31" t="n">
        <f aca="false">MOD(280.46061837+360.98564736629*(J54-2451545)+0.000387933*K54^2-K54^3/38710000+$E$4,360)</f>
        <v>115.904055779334</v>
      </c>
      <c r="M54" s="28" t="n">
        <f aca="false">0.606433+1336.855225*K54 - INT(0.606433+1336.855225*K54)</f>
        <v>0.979001527458252</v>
      </c>
      <c r="N54" s="31" t="n">
        <f aca="false">22640*SIN(O54)-4586*SIN(O54-2*Q54)+2370*SIN(2*Q54)+769*SIN(2*O54)-668*SIN(P54)-412*SIN(2*R54)-212*SIN(2*O54-2*Q54)-206*SIN(O54+P54-2*Q54)+192*SIN(O54+2*Q54)-165*SIN(P54-2*Q54)-125*SIN(Q54)-110*SIN(O54+P54)+148*SIN(O54-P54)-55*SIN(2*R54-2*Q54)</f>
        <v>21796.495388717</v>
      </c>
      <c r="O54" s="29" t="n">
        <f aca="false">2*PI()*(0.374897+1325.55241*K54 - INT(0.374897+1325.55241*K54))</f>
        <v>0.98742317637122</v>
      </c>
      <c r="P54" s="32" t="n">
        <f aca="false">2*PI()*(0.993133+99.997361*K54 - INT(0.993133+99.997361*K54))</f>
        <v>5.71729887771234</v>
      </c>
      <c r="Q54" s="32" t="n">
        <f aca="false">2*PI()*(0.827361+1236.853086*K54 - INT(0.827361+1236.853086*K54))</f>
        <v>1.77205401664158</v>
      </c>
      <c r="R54" s="32" t="n">
        <f aca="false">2*PI()*(0.259086+1342.227825*K54 - INT(0.259086+1342.227825*K54))</f>
        <v>5.42185609773929</v>
      </c>
      <c r="S54" s="32" t="n">
        <f aca="false">R54+(N54+412*SIN(2*R54)+541*SIN(P54))/206264.8062</f>
        <v>5.52414777111601</v>
      </c>
      <c r="T54" s="32" t="n">
        <f aca="false">R54-2*Q54</f>
        <v>1.87774806445613</v>
      </c>
      <c r="U54" s="24" t="n">
        <f aca="false">-526*SIN(T54)+44*SIN(O54+T54)-31*SIN(-O54+T54)-23*SIN(P54+T54)+11*SIN(-P54+T54)-25*SIN(-2*O54+R54)+21*SIN(-O54+R54)</f>
        <v>-541.342337080954</v>
      </c>
      <c r="V54" s="32" t="n">
        <f aca="false">2*PI()*(M54+N54/1296000-INT(M54+N54/1296000))</f>
        <v>6.25692040467897</v>
      </c>
      <c r="W54" s="31" t="n">
        <f aca="false">V54/$E$6</f>
        <v>358.495131937392</v>
      </c>
      <c r="X54" s="32" t="n">
        <f aca="false">(18520*SIN(S54)+U54)/206264.8062</f>
        <v>-0.064418364711049</v>
      </c>
      <c r="Y54" s="32" t="n">
        <f aca="false">COS(X54)*COS(V54)</f>
        <v>0.997581667208916</v>
      </c>
      <c r="Z54" s="32" t="n">
        <f aca="false">COS(X54)*SIN(V54)</f>
        <v>-0.0262074118543949</v>
      </c>
      <c r="AA54" s="32" t="n">
        <f aca="false">SIN(X54)</f>
        <v>-0.0643738208635628</v>
      </c>
      <c r="AB54" s="32" t="n">
        <f aca="false">COS($E$6*(23.4393-46.815*K54/3600))*Z54-SIN($E$6*(23.4393-46.815*K54/3600))*AA54</f>
        <v>0.00155800157253081</v>
      </c>
      <c r="AC54" s="32" t="n">
        <f aca="false">SIN($E$6*(23.4393-46.815*K54/3600))*Z54+COS($E$6*(23.4393-46.815*K54/3600))*AA54</f>
        <v>-0.0694866165515342</v>
      </c>
      <c r="AD54" s="32" t="n">
        <f aca="false">SQRT(1-AC54*AC54)</f>
        <v>0.997582883834832</v>
      </c>
      <c r="AE54" s="31" t="n">
        <f aca="false">ATAN(AC54/AD54)/$E$6</f>
        <v>-3.98450071235535</v>
      </c>
      <c r="AF54" s="32" t="n">
        <f aca="false">IF(24*ATAN(AB54/(Y54+AD54))/PI()&gt;0,24*ATAN(AB54/(Y54+AD54))/PI(),24*ATAN(AB54/(Y54+AD54))/PI()+24)</f>
        <v>0.00596554948409041</v>
      </c>
      <c r="AG54" s="31" t="n">
        <f aca="false">IF(L54-15*AF54&gt;0,L54-15*AF54,360+L54-15*AF54)</f>
        <v>115.814572537073</v>
      </c>
      <c r="AH54" s="29" t="n">
        <f aca="false">0.950724+0.051818*COS(O54)+0.009531*COS(2*Q54-O54)+0.007843*COS(2*Q54)+0.002824*COS(2*O54)+0.000857*COS(2*Q54+O54)+0.000533*COS(2*Q54-P54)*(1-0.002495*(J54-2415020)/36525)+0.000401*COS(2*Q54-P54-O54)*(1-0.002495*(J54-2415020)/36525)+0.00032*COS(O54-P54)*(1-0.002495*(J54-2415020)/36525)-0.000271*COS(Q54)</f>
        <v>0.962199355346715</v>
      </c>
      <c r="AI54" s="32" t="n">
        <f aca="false">ASIN(COS($E$6*$E$2)*COS($E$6*AE54)*COS($E$6*AG54)+SIN($E$6*$E$2)*SIN($E$6*AE54))/$E$6</f>
        <v>-19.4182531025748</v>
      </c>
      <c r="AJ54" s="29" t="n">
        <f aca="false">ASIN((0.9983271+0.0016764*COS($E$6*2*$E$2))*COS($E$6*AI54)*SIN($E$6*AH54))/$E$6</f>
        <v>0.905679246748806</v>
      </c>
      <c r="AK54" s="29" t="n">
        <f aca="false">AI54-AJ54</f>
        <v>-20.3239323493236</v>
      </c>
      <c r="AL54" s="31" t="n">
        <f aca="false"> MOD(280.4664567 + 360007.6982779*K54/10 + 0.03032028*K54^2/100 + K54^3/49931000,360)</f>
        <v>250.909837653864</v>
      </c>
      <c r="AM54" s="29" t="n">
        <f aca="false"> AL54 + (1.9146 - 0.004817*K54 - 0.000014*K54^2)*SIN(P54)+ (0.019993 - 0.000101*K54)*SIN(2*P54)+ 0.00029*SIN(3*P54)</f>
        <v>249.865526092897</v>
      </c>
      <c r="AN54" s="29" t="n">
        <f aca="false">ACOS(COS(V54-$E$6*AM54)*COS(X54))/$E$6</f>
        <v>108.589548183651</v>
      </c>
      <c r="AO54" s="24" t="n">
        <f aca="false">180 - AN54 -0.1468*(1-0.0549*SIN(P54))*SIN($E$6*AN54)/(1-0.0167*SIN($E$6*AM54))</f>
        <v>71.2694263992485</v>
      </c>
      <c r="AP54" s="48" t="n">
        <f aca="false">SIN($E$6*AG54)</f>
        <v>0.900208046148615</v>
      </c>
      <c r="AQ54" s="48" t="n">
        <f aca="false">COS($E$6*AG54)*SIN($E$6*$E$2) - TAN($E$6*AE54)*COS($E$6*$E$2)</f>
        <v>-0.288808409210821</v>
      </c>
      <c r="AR54" s="48" t="n">
        <f aca="false">IF(OR(AND(AP54*AQ54&gt;0), AND(AP54&lt;0,AQ54&gt;0)), MOD(ATAN2(AQ54,AP54)/$E$6+360,360),  ATAN2(AQ54,AP54)/$E$6)</f>
        <v>107.787491320714</v>
      </c>
      <c r="AS54" s="20" t="n">
        <f aca="false"> 385000.56 + (-20905355*COS(O54) - 3699111*COS(2*Q54-O54) - 2955968*COS(2*Q54) - 569925*COS(2*O54) + (1-0.002516*K54)*48888*COS(P54) - 3149*COS(2*R54)  +246158*COS(2*Q54-2*O54) -(1-0.002516*K54)*152138*COS(2*Q54-P54-O54) -170733*COS(2*Q54+O54) -(1-0.002516*K54)*204586*COS(2*Q54-P54) -(1-0.002516*K54)*129620*COS(P54-O54)  + 108743*COS(Q54) +(1-0.002516*K54)*104755*COS(P54+O54) +10321*COS(2*Q54-2*R54) +79661*COS(O54-2*R54) -34782*COS(4*Q54-O54) -23210*COS(3*O54)  -21636*COS(4*Q54-2*O54) +(1-0.002516*K54)*24208*COS(2*Q54+P54-O54) +(1-0.002516*K54)*30824*COS(2*Q54+P54) -8379*COS(Q54-O54) -(1-0.002516*K54)*16675*COS(Q54+P54)  -(1-0.002516*K54)*12831*COS(2*Q54-P54+O54) -10445*COS(2*Q54+2*O54) -11650*COS(4*Q54) +14403*COS(2*Q54-3*O54) -(1-0.002516*K54)*7003*COS(P54-2*O54)  + (1-0.002516*K54)*10056*COS(2*Q54-P54-2*O54) +6322*COS(Q54+O54) -(1-0.002516*K54)*(1-0.002516*K54)*9884*COS(2*Q54-2*P54) +(1-0.002516*K54)*5751*COS(P54+2*O54) -(1-0.002516*K54)*(1-0.002516*K54)*4950*COS(2*Q54-2*P54-O54)  +4130*COS(2*Q54+O54-2*R54) -(1-0.002516*K54)*3958*COS(4*Q54-P54-O54) +3258*COS(3*Q54-O54) +(1-0.002516*K54)*2616*COS(2*Q54+P54+O54) -(1-0.002516*K54)*1897*COS(4*Q54-P54-2*O54)  -(1-0.002516*K54)*(1-0.002516*K54)*2117*COS(2*P54-O54) +(1-0.002516*K54)*(1-0.002516*K54)*2354*COS(2*Q54+2*P54-O54) -1423*COS(4*Q54+O54) -1117*COS(4*O54) -(1-0.002516*K54)*1571*COS(4*Q54-P54)  -1739*COS(Q54-2*O54) -4421*COS(2*O54-2*R54) +(1-0.002516*K54)*(1-0.002516*K54)*1165*COS(2*P54+O54) +8752*COS(2*Q54-O54-2*R54))/1000</f>
        <v>379775.608815704</v>
      </c>
      <c r="AT54" s="24" t="n">
        <f aca="false">60*ATAN(3476/AS54)/$E$6</f>
        <v>31.4640377864969</v>
      </c>
      <c r="AU54" s="28" t="n">
        <f aca="false">ATAN(0.99664719*TAN($E$6*input!$D$2))</f>
        <v>0.871010436227447</v>
      </c>
      <c r="AV54" s="28" t="n">
        <f aca="false">COS(AU54)</f>
        <v>0.644053912545846</v>
      </c>
      <c r="AW54" s="28" t="n">
        <f aca="false">0.99664719*SIN(AU54)</f>
        <v>0.762415269897027</v>
      </c>
      <c r="AX54" s="28" t="n">
        <f aca="false">6378.14/AS54</f>
        <v>0.016794496149686</v>
      </c>
      <c r="AY54" s="31" t="n">
        <f aca="false">L54-15*AF54</f>
        <v>115.814572537073</v>
      </c>
      <c r="AZ54" s="29" t="n">
        <f aca="false">COS($E$6*AE54)*SIN($E$6*AY54)</f>
        <v>0.898032138728255</v>
      </c>
      <c r="BA54" s="29" t="n">
        <f aca="false">COS($E$6*AE54)*COS($E$6*AY54)-AV54*AX54</f>
        <v>-0.44522407462263</v>
      </c>
      <c r="BB54" s="29" t="n">
        <f aca="false">SIN($E$6*AE54)-AW54*AX54</f>
        <v>-0.0822909968662816</v>
      </c>
      <c r="BC54" s="45" t="n">
        <f aca="false">SQRT(AZ54^2+BA54^2+BB54^2)</f>
        <v>1.00571268609761</v>
      </c>
      <c r="BD54" s="20" t="n">
        <f aca="false">AS54*BC54</f>
        <v>381945.147656396</v>
      </c>
      <c r="BE54" s="30" t="str">
        <f aca="false">IF(OR(AND(BD54&gt;BD53,BD54&gt;BD55),AND(BD54&lt;BD53,BD54&lt;BD55)),BD54,"")</f>
        <v/>
      </c>
    </row>
    <row r="55" customFormat="false" ht="15" hidden="false" customHeight="false" outlineLevel="0" collapsed="false">
      <c r="A55" s="31" t="n">
        <v>26.5</v>
      </c>
      <c r="F55" s="38" t="n">
        <f aca="false">AK55</f>
        <v>-24.5588478864355</v>
      </c>
      <c r="G55" s="39" t="n">
        <f aca="false">F55+1.02/(TAN($E$6*(F55+10.3/(F55+5.11)))*60)</f>
        <v>-24.5951580658174</v>
      </c>
      <c r="H55" s="38" t="n">
        <f aca="false">100*(1+COS($E$6*AO55))/2</f>
        <v>66.2691915315567</v>
      </c>
      <c r="I55" s="38" t="n">
        <f aca="false">IF(AG55&gt;180, AR55-180,AR55+180)</f>
        <v>294.103203448583</v>
      </c>
      <c r="J55" s="31" t="n">
        <f aca="false">J54+0.5/24</f>
        <v>2459915.60416667</v>
      </c>
      <c r="K55" s="47" t="n">
        <f aca="false">(J55-2451545)/36525</f>
        <v>0.229174652064817</v>
      </c>
      <c r="L55" s="31" t="n">
        <f aca="false">MOD(280.46061837+360.98564736629*(J55-2451545)+0.000387933*K55^2-K55^3/38710000+$E$4,360)</f>
        <v>123.424590155482</v>
      </c>
      <c r="M55" s="28" t="n">
        <f aca="false">0.606433+1336.855225*K55 - INT(0.606433+1336.855225*K55)</f>
        <v>0.979764050407709</v>
      </c>
      <c r="N55" s="31" t="n">
        <f aca="false">22640*SIN(O55)-4586*SIN(O55-2*Q55)+2370*SIN(2*Q55)+769*SIN(2*O55)-668*SIN(P55)-412*SIN(2*R55)-212*SIN(2*O55-2*Q55)-206*SIN(O55+P55-2*Q55)+192*SIN(O55+2*Q55)-165*SIN(P55-2*Q55)-125*SIN(Q55)-110*SIN(O55+P55)+148*SIN(O55-P55)-55*SIN(2*R55-2*Q55)</f>
        <v>21815.5218609563</v>
      </c>
      <c r="O55" s="29" t="n">
        <f aca="false">2*PI()*(0.374897+1325.55241*K55 - INT(0.374897+1325.55241*K55))</f>
        <v>0.992173741902056</v>
      </c>
      <c r="P55" s="32" t="n">
        <f aca="false">2*PI()*(0.993133+99.997361*K55 - INT(0.993133+99.997361*K55))</f>
        <v>5.71765725208723</v>
      </c>
      <c r="Q55" s="32" t="n">
        <f aca="false">2*PI()*(0.827361+1236.853086*K55 - INT(0.827361+1236.853086*K55))</f>
        <v>1.77648669813556</v>
      </c>
      <c r="R55" s="32" t="n">
        <f aca="false">2*PI()*(0.259086+1342.227825*K55 - INT(0.259086+1342.227825*K55))</f>
        <v>5.42666642526124</v>
      </c>
      <c r="S55" s="32" t="n">
        <f aca="false">R55+(N55+412*SIN(2*R55)+541*SIN(P55))/206264.8062</f>
        <v>5.52904831944944</v>
      </c>
      <c r="T55" s="32" t="n">
        <f aca="false">R55-2*Q55</f>
        <v>1.87369302899013</v>
      </c>
      <c r="U55" s="24" t="n">
        <f aca="false">-526*SIN(T55)+44*SIN(O55+T55)-31*SIN(-O55+T55)-23*SIN(P55+T55)+11*SIN(-P55+T55)-25*SIN(-2*O55+R55)+21*SIN(-O55+R55)</f>
        <v>-541.892682464762</v>
      </c>
      <c r="V55" s="32" t="n">
        <f aca="false">2*PI()*(M55+N55/1296000-INT(M55+N55/1296000))</f>
        <v>6.26180372061184</v>
      </c>
      <c r="W55" s="31" t="n">
        <f aca="false">V55/$E$6</f>
        <v>358.774925330374</v>
      </c>
      <c r="X55" s="32" t="n">
        <f aca="false">(18520*SIN(S55)+U55)/206264.8062</f>
        <v>-0.064101066924505</v>
      </c>
      <c r="Y55" s="32" t="n">
        <f aca="false">COS(X55)*COS(V55)</f>
        <v>0.997718122021874</v>
      </c>
      <c r="Z55" s="32" t="n">
        <f aca="false">COS(X55)*SIN(V55)</f>
        <v>-0.021336047911626</v>
      </c>
      <c r="AA55" s="32" t="n">
        <f aca="false">SIN(X55)</f>
        <v>-0.0640571779635808</v>
      </c>
      <c r="AB55" s="32" t="n">
        <f aca="false">COS($E$6*(23.4393-46.815*K55/3600))*Z55-SIN($E$6*(23.4393-46.815*K55/3600))*AA55</f>
        <v>0.00590155283599847</v>
      </c>
      <c r="AC55" s="32" t="n">
        <f aca="false">SIN($E$6*(23.4393-46.815*K55/3600))*Z55+COS($E$6*(23.4393-46.815*K55/3600))*AA55</f>
        <v>-0.0672586103281132</v>
      </c>
      <c r="AD55" s="32" t="n">
        <f aca="false">SQRT(1-AC55*AC55)</f>
        <v>0.997735575860023</v>
      </c>
      <c r="AE55" s="31" t="n">
        <f aca="false">ATAN(AC55/AD55)/$E$6</f>
        <v>-3.85654589927205</v>
      </c>
      <c r="AF55" s="32" t="n">
        <f aca="false">IF(24*ATAN(AB55/(Y55+AD55))/PI()&gt;0,24*ATAN(AB55/(Y55+AD55))/PI(),24*ATAN(AB55/(Y55+AD55))/PI()+24)</f>
        <v>0.0225935641988826</v>
      </c>
      <c r="AG55" s="31" t="n">
        <f aca="false">IF(L55-15*AF55&gt;0,L55-15*AF55,360+L55-15*AF55)</f>
        <v>123.085686692499</v>
      </c>
      <c r="AH55" s="29" t="n">
        <f aca="false">0.950724+0.051818*COS(O55)+0.009531*COS(2*Q55-O55)+0.007843*COS(2*Q55)+0.002824*COS(2*O55)+0.000857*COS(2*Q55+O55)+0.000533*COS(2*Q55-P55)*(1-0.002495*(J55-2415020)/36525)+0.000401*COS(2*Q55-P55-O55)*(1-0.002495*(J55-2415020)/36525)+0.00032*COS(O55-P55)*(1-0.002495*(J55-2415020)/36525)-0.000271*COS(Q55)</f>
        <v>0.961989875114095</v>
      </c>
      <c r="AI55" s="32" t="n">
        <f aca="false">ASIN(COS($E$6*$E$2)*COS($E$6*AE55)*COS($E$6*AG55)+SIN($E$6*$E$2)*SIN($E$6*AE55))/$E$6</f>
        <v>-23.6795891317208</v>
      </c>
      <c r="AJ55" s="29" t="n">
        <f aca="false">ASIN((0.9983271+0.0016764*COS($E$6*2*$E$2))*COS($E$6*AI55)*SIN($E$6*AH55))/$E$6</f>
        <v>0.879258754714638</v>
      </c>
      <c r="AK55" s="29" t="n">
        <f aca="false">AI55-AJ55</f>
        <v>-24.5588478864355</v>
      </c>
      <c r="AL55" s="31" t="n">
        <f aca="false"> MOD(280.4664567 + 360007.6982779*K55/10 + 0.03032028*K55^2/100 + K55^3/49931000,360)</f>
        <v>250.9303719741</v>
      </c>
      <c r="AM55" s="29" t="n">
        <f aca="false"> AL55 + (1.9146 - 0.004817*K55 - 0.000014*K55^2)*SIN(P55)+ (0.019993 - 0.000101*K55)*SIN(2*P55)+ 0.00029*SIN(3*P55)</f>
        <v>249.886645378865</v>
      </c>
      <c r="AN55" s="29" t="n">
        <f aca="false">ACOS(COS(V55-$E$6*AM55)*COS(X55))/$E$6</f>
        <v>108.848023425296</v>
      </c>
      <c r="AO55" s="24" t="n">
        <f aca="false">180 - AN55 -0.1468*(1-0.0549*SIN(P55))*SIN($E$6*AN55)/(1-0.0167*SIN($E$6*AM55))</f>
        <v>71.0111691332207</v>
      </c>
      <c r="AP55" s="48" t="n">
        <f aca="false">SIN($E$6*AG55)</f>
        <v>0.837855114581639</v>
      </c>
      <c r="AQ55" s="48" t="n">
        <f aca="false">COS($E$6*AG55)*SIN($E$6*$E$2) - TAN($E$6*AE55)*COS($E$6*$E$2)</f>
        <v>-0.374846924858372</v>
      </c>
      <c r="AR55" s="48" t="n">
        <f aca="false">IF(OR(AND(AP55*AQ55&gt;0), AND(AP55&lt;0,AQ55&gt;0)), MOD(ATAN2(AQ55,AP55)/$E$6+360,360),  ATAN2(AQ55,AP55)/$E$6)</f>
        <v>114.103203448583</v>
      </c>
      <c r="AS55" s="20" t="n">
        <f aca="false"> 385000.56 + (-20905355*COS(O55) - 3699111*COS(2*Q55-O55) - 2955968*COS(2*Q55) - 569925*COS(2*O55) + (1-0.002516*K55)*48888*COS(P55) - 3149*COS(2*R55)  +246158*COS(2*Q55-2*O55) -(1-0.002516*K55)*152138*COS(2*Q55-P55-O55) -170733*COS(2*Q55+O55) -(1-0.002516*K55)*204586*COS(2*Q55-P55) -(1-0.002516*K55)*129620*COS(P55-O55)  + 108743*COS(Q55) +(1-0.002516*K55)*104755*COS(P55+O55) +10321*COS(2*Q55-2*R55) +79661*COS(O55-2*R55) -34782*COS(4*Q55-O55) -23210*COS(3*O55)  -21636*COS(4*Q55-2*O55) +(1-0.002516*K55)*24208*COS(2*Q55+P55-O55) +(1-0.002516*K55)*30824*COS(2*Q55+P55) -8379*COS(Q55-O55) -(1-0.002516*K55)*16675*COS(Q55+P55)  -(1-0.002516*K55)*12831*COS(2*Q55-P55+O55) -10445*COS(2*Q55+2*O55) -11650*COS(4*Q55) +14403*COS(2*Q55-3*O55) -(1-0.002516*K55)*7003*COS(P55-2*O55)  + (1-0.002516*K55)*10056*COS(2*Q55-P55-2*O55) +6322*COS(Q55+O55) -(1-0.002516*K55)*(1-0.002516*K55)*9884*COS(2*Q55-2*P55) +(1-0.002516*K55)*5751*COS(P55+2*O55) -(1-0.002516*K55)*(1-0.002516*K55)*4950*COS(2*Q55-2*P55-O55)  +4130*COS(2*Q55+O55-2*R55) -(1-0.002516*K55)*3958*COS(4*Q55-P55-O55) +3258*COS(3*Q55-O55) +(1-0.002516*K55)*2616*COS(2*Q55+P55+O55) -(1-0.002516*K55)*1897*COS(4*Q55-P55-2*O55)  -(1-0.002516*K55)*(1-0.002516*K55)*2117*COS(2*P55-O55) +(1-0.002516*K55)*(1-0.002516*K55)*2354*COS(2*Q55+2*P55-O55) -1423*COS(4*Q55+O55) -1117*COS(4*O55) -(1-0.002516*K55)*1571*COS(4*Q55-P55)  -1739*COS(Q55-2*O55) -4421*COS(2*O55-2*R55) +(1-0.002516*K55)*(1-0.002516*K55)*1165*COS(2*P55+O55) +8752*COS(2*Q55-O55-2*R55))/1000</f>
        <v>379857.638041784</v>
      </c>
      <c r="AT55" s="24" t="n">
        <f aca="false">60*ATAN(3476/AS55)/$E$6</f>
        <v>31.4572435922424</v>
      </c>
      <c r="AU55" s="28" t="n">
        <f aca="false">ATAN(0.99664719*TAN($E$6*input!$D$2))</f>
        <v>0.871010436227447</v>
      </c>
      <c r="AV55" s="28" t="n">
        <f aca="false">COS(AU55)</f>
        <v>0.644053912545846</v>
      </c>
      <c r="AW55" s="28" t="n">
        <f aca="false">0.99664719*SIN(AU55)</f>
        <v>0.762415269897027</v>
      </c>
      <c r="AX55" s="28" t="n">
        <f aca="false">6378.14/AS55</f>
        <v>0.0167908694238193</v>
      </c>
      <c r="AY55" s="31" t="n">
        <f aca="false">L55-15*AF55</f>
        <v>123.085686692499</v>
      </c>
      <c r="AZ55" s="29" t="n">
        <f aca="false">COS($E$6*AE55)*SIN($E$6*AY55)</f>
        <v>0.835957855234377</v>
      </c>
      <c r="BA55" s="29" t="n">
        <f aca="false">COS($E$6*AE55)*COS($E$6*AY55)-AV55*AX55</f>
        <v>-0.555470762433729</v>
      </c>
      <c r="BB55" s="29" t="n">
        <f aca="false">SIN($E$6*AE55)-AW55*AX55</f>
        <v>-0.0800602255716801</v>
      </c>
      <c r="BC55" s="45" t="n">
        <f aca="false">SQRT(AZ55^2+BA55^2+BB55^2)</f>
        <v>1.00686788774166</v>
      </c>
      <c r="BD55" s="20" t="n">
        <f aca="false">AS55*BC55</f>
        <v>382466.457657668</v>
      </c>
      <c r="BE55" s="49" t="str">
        <f aca="false">IF(OR(AND(BD55&gt;BD54,BD55&gt;BD56),AND(BD55&lt;BD54,BD55&lt;BD56)),BD55,"")</f>
        <v/>
      </c>
    </row>
    <row r="56" customFormat="false" ht="15" hidden="false" customHeight="false" outlineLevel="0" collapsed="false">
      <c r="A56" s="31" t="n">
        <v>27</v>
      </c>
      <c r="F56" s="38" t="n">
        <f aca="false">AK56</f>
        <v>-28.5709661346977</v>
      </c>
      <c r="G56" s="39" t="n">
        <f aca="false">F56+1.02/(TAN($E$6*(F56+10.3/(F56+5.11)))*60)</f>
        <v>-28.6016223354239</v>
      </c>
      <c r="H56" s="38" t="n">
        <f aca="false">100*(1+COS($E$6*AO56))/2</f>
        <v>66.4820357221493</v>
      </c>
      <c r="I56" s="38" t="n">
        <f aca="false">IF(AG56&gt;180, AR56-180,AR56+180)</f>
        <v>300.794643838627</v>
      </c>
      <c r="J56" s="31" t="n">
        <f aca="false">J55+0.5/24</f>
        <v>2459915.625</v>
      </c>
      <c r="K56" s="47" t="n">
        <f aca="false">(J56-2451545)/36525</f>
        <v>0.229175222450402</v>
      </c>
      <c r="L56" s="31" t="n">
        <f aca="false">MOD(280.46061837+360.98564736629*(J56-2451545)+0.000387933*K56^2-K56^3/38710000+$E$4,360)</f>
        <v>130.94512453163</v>
      </c>
      <c r="M56" s="28" t="n">
        <f aca="false">0.606433+1336.855225*K56 - INT(0.606433+1336.855225*K56)</f>
        <v>0.980526573357111</v>
      </c>
      <c r="N56" s="31" t="n">
        <f aca="false">22640*SIN(O56)-4586*SIN(O56-2*Q56)+2370*SIN(2*Q56)+769*SIN(2*O56)-668*SIN(P56)-412*SIN(2*R56)-212*SIN(2*O56-2*Q56)-206*SIN(O56+P56-2*Q56)+192*SIN(O56+2*Q56)-165*SIN(P56-2*Q56)-125*SIN(Q56)-110*SIN(O56+P56)+148*SIN(O56-P56)-55*SIN(2*R56-2*Q56)</f>
        <v>21834.0967173023</v>
      </c>
      <c r="O56" s="29" t="n">
        <f aca="false">2*PI()*(0.374897+1325.55241*K56 - INT(0.374897+1325.55241*K56))</f>
        <v>0.996924307432893</v>
      </c>
      <c r="P56" s="32" t="n">
        <f aca="false">2*PI()*(0.993133+99.997361*K56 - INT(0.993133+99.997361*K56))</f>
        <v>5.71801562646213</v>
      </c>
      <c r="Q56" s="32" t="n">
        <f aca="false">2*PI()*(0.827361+1236.853086*K56 - INT(0.827361+1236.853086*K56))</f>
        <v>1.78091937962918</v>
      </c>
      <c r="R56" s="32" t="n">
        <f aca="false">2*PI()*(0.259086+1342.227825*K56 - INT(0.259086+1342.227825*K56))</f>
        <v>5.43147675278355</v>
      </c>
      <c r="S56" s="32" t="n">
        <f aca="false">R56+(N56+412*SIN(2*R56)+541*SIN(P56))/206264.8062</f>
        <v>5.53394686147594</v>
      </c>
      <c r="T56" s="32" t="n">
        <f aca="false">R56-2*Q56</f>
        <v>1.8696379935252</v>
      </c>
      <c r="U56" s="24" t="n">
        <f aca="false">-526*SIN(T56)+44*SIN(O56+T56)-31*SIN(-O56+T56)-23*SIN(P56+T56)+11*SIN(-P56+T56)-25*SIN(-2*O56+R56)+21*SIN(-O56+R56)</f>
        <v>-542.432921044498</v>
      </c>
      <c r="V56" s="32" t="n">
        <f aca="false">2*PI()*(M56+N56/1296000-INT(M56+N56/1296000))</f>
        <v>6.26668484704871</v>
      </c>
      <c r="W56" s="31" t="n">
        <f aca="false">V56/$E$6</f>
        <v>359.054593274477</v>
      </c>
      <c r="X56" s="32" t="n">
        <f aca="false">(18520*SIN(S56)+U56)/206264.8062</f>
        <v>-0.0637823757240801</v>
      </c>
      <c r="Y56" s="32" t="n">
        <f aca="false">COS(X56)*COS(V56)</f>
        <v>0.997830741073862</v>
      </c>
      <c r="Z56" s="32" t="n">
        <f aca="false">COS(X56)*SIN(V56)</f>
        <v>-0.0164661607750089</v>
      </c>
      <c r="AA56" s="32" t="n">
        <f aca="false">SIN(X56)</f>
        <v>-0.0637391380340151</v>
      </c>
      <c r="AB56" s="32" t="n">
        <f aca="false">COS($E$6*(23.4393-46.815*K56/3600))*Z56-SIN($E$6*(23.4393-46.815*K56/3600))*AA56</f>
        <v>0.0102431934864443</v>
      </c>
      <c r="AC56" s="32" t="n">
        <f aca="false">SIN($E$6*(23.4393-46.815*K56/3600))*Z56+COS($E$6*(23.4393-46.815*K56/3600))*AA56</f>
        <v>-0.0650299096968998</v>
      </c>
      <c r="AD56" s="32" t="n">
        <f aca="false">SQRT(1-AC56*AC56)</f>
        <v>0.997883315245231</v>
      </c>
      <c r="AE56" s="31" t="n">
        <f aca="false">ATAN(AC56/AD56)/$E$6</f>
        <v>-3.72857047525972</v>
      </c>
      <c r="AF56" s="32" t="n">
        <f aca="false">IF(24*ATAN(AB56/(Y56+AD56))/PI()&gt;0,24*ATAN(AB56/(Y56+AD56))/PI(),24*ATAN(AB56/(Y56+AD56))/PI()+24)</f>
        <v>0.039209798960952</v>
      </c>
      <c r="AG56" s="31" t="n">
        <f aca="false">IF(L56-15*AF56&gt;0,L56-15*AF56,360+L56-15*AF56)</f>
        <v>130.356977547216</v>
      </c>
      <c r="AH56" s="29" t="n">
        <f aca="false">0.950724+0.051818*COS(O56)+0.009531*COS(2*Q56-O56)+0.007843*COS(2*Q56)+0.002824*COS(2*O56)+0.000857*COS(2*Q56+O56)+0.000533*COS(2*Q56-P56)*(1-0.002495*(J56-2415020)/36525)+0.000401*COS(2*Q56-P56-O56)*(1-0.002495*(J56-2415020)/36525)+0.00032*COS(O56-P56)*(1-0.002495*(J56-2415020)/36525)-0.000271*COS(Q56)</f>
        <v>0.961780610142414</v>
      </c>
      <c r="AI56" s="32" t="n">
        <f aca="false">ASIN(COS($E$6*$E$2)*COS($E$6*AE56)*COS($E$6*AG56)+SIN($E$6*$E$2)*SIN($E$6*AE56))/$E$6</f>
        <v>-27.7212585395275</v>
      </c>
      <c r="AJ56" s="29" t="n">
        <f aca="false">ASIN((0.9983271+0.0016764*COS($E$6*2*$E$2))*COS($E$6*AI56)*SIN($E$6*AH56))/$E$6</f>
        <v>0.849707595170146</v>
      </c>
      <c r="AK56" s="29" t="n">
        <f aca="false">AI56-AJ56</f>
        <v>-28.5709661346977</v>
      </c>
      <c r="AL56" s="31" t="n">
        <f aca="false"> MOD(280.4664567 + 360007.6982779*K56/10 + 0.03032028*K56^2/100 + K56^3/49931000,360)</f>
        <v>250.950906294333</v>
      </c>
      <c r="AM56" s="29" t="n">
        <f aca="false"> AL56 + (1.9146 - 0.004817*K56 - 0.000014*K56^2)*SIN(P56)+ (0.019993 - 0.000101*K56)*SIN(2*P56)+ 0.00029*SIN(3*P56)</f>
        <v>249.907764806134</v>
      </c>
      <c r="AN56" s="29" t="n">
        <f aca="false">ACOS(COS(V56-$E$6*AM56)*COS(X56))/$E$6</f>
        <v>109.106383072327</v>
      </c>
      <c r="AO56" s="24" t="n">
        <f aca="false">180 - AN56 -0.1468*(1-0.0549*SIN(P56))*SIN($E$6*AN56)/(1-0.0167*SIN($E$6*AM56))</f>
        <v>70.7530302214767</v>
      </c>
      <c r="AP56" s="48" t="n">
        <f aca="false">SIN($E$6*AG56)</f>
        <v>0.762024755312984</v>
      </c>
      <c r="AQ56" s="48" t="n">
        <f aca="false">COS($E$6*AG56)*SIN($E$6*$E$2) - TAN($E$6*AE56)*COS($E$6*$E$2)</f>
        <v>-0.454161378032797</v>
      </c>
      <c r="AR56" s="48" t="n">
        <f aca="false">IF(OR(AND(AP56*AQ56&gt;0), AND(AP56&lt;0,AQ56&gt;0)), MOD(ATAN2(AQ56,AP56)/$E$6+360,360),  ATAN2(AQ56,AP56)/$E$6)</f>
        <v>120.794643838627</v>
      </c>
      <c r="AS56" s="20" t="n">
        <f aca="false"> 385000.56 + (-20905355*COS(O56) - 3699111*COS(2*Q56-O56) - 2955968*COS(2*Q56) - 569925*COS(2*O56) + (1-0.002516*K56)*48888*COS(P56) - 3149*COS(2*R56)  +246158*COS(2*Q56-2*O56) -(1-0.002516*K56)*152138*COS(2*Q56-P56-O56) -170733*COS(2*Q56+O56) -(1-0.002516*K56)*204586*COS(2*Q56-P56) -(1-0.002516*K56)*129620*COS(P56-O56)  + 108743*COS(Q56) +(1-0.002516*K56)*104755*COS(P56+O56) +10321*COS(2*Q56-2*R56) +79661*COS(O56-2*R56) -34782*COS(4*Q56-O56) -23210*COS(3*O56)  -21636*COS(4*Q56-2*O56) +(1-0.002516*K56)*24208*COS(2*Q56+P56-O56) +(1-0.002516*K56)*30824*COS(2*Q56+P56) -8379*COS(Q56-O56) -(1-0.002516*K56)*16675*COS(Q56+P56)  -(1-0.002516*K56)*12831*COS(2*Q56-P56+O56) -10445*COS(2*Q56+2*O56) -11650*COS(4*Q56) +14403*COS(2*Q56-3*O56) -(1-0.002516*K56)*7003*COS(P56-2*O56)  + (1-0.002516*K56)*10056*COS(2*Q56-P56-2*O56) +6322*COS(Q56+O56) -(1-0.002516*K56)*(1-0.002516*K56)*9884*COS(2*Q56-2*P56) +(1-0.002516*K56)*5751*COS(P56+2*O56) -(1-0.002516*K56)*(1-0.002516*K56)*4950*COS(2*Q56-2*P56-O56)  +4130*COS(2*Q56+O56-2*R56) -(1-0.002516*K56)*3958*COS(4*Q56-P56-O56) +3258*COS(3*Q56-O56) +(1-0.002516*K56)*2616*COS(2*Q56+P56+O56) -(1-0.002516*K56)*1897*COS(4*Q56-P56-2*O56)  -(1-0.002516*K56)*(1-0.002516*K56)*2117*COS(2*P56-O56) +(1-0.002516*K56)*(1-0.002516*K56)*2354*COS(2*Q56+2*P56-O56) -1423*COS(4*Q56+O56) -1117*COS(4*O56) -(1-0.002516*K56)*1571*COS(4*Q56-P56)  -1739*COS(Q56-2*O56) -4421*COS(2*O56-2*R56) +(1-0.002516*K56)*(1-0.002516*K56)*1165*COS(2*P56+O56) +8752*COS(2*Q56-O56-2*R56))/1000</f>
        <v>379939.634126604</v>
      </c>
      <c r="AT56" s="24" t="n">
        <f aca="false">60*ATAN(3476/AS56)/$E$6</f>
        <v>31.4504550746819</v>
      </c>
      <c r="AU56" s="28" t="n">
        <f aca="false">ATAN(0.99664719*TAN($E$6*input!$D$2))</f>
        <v>0.871010436227447</v>
      </c>
      <c r="AV56" s="28" t="n">
        <f aca="false">COS(AU56)</f>
        <v>0.644053912545846</v>
      </c>
      <c r="AW56" s="28" t="n">
        <f aca="false">0.99664719*SIN(AU56)</f>
        <v>0.762415269897027</v>
      </c>
      <c r="AX56" s="28" t="n">
        <f aca="false">6378.14/AS56</f>
        <v>0.0167872457282903</v>
      </c>
      <c r="AY56" s="31" t="n">
        <f aca="false">L56-15*AF56</f>
        <v>130.356977547216</v>
      </c>
      <c r="AZ56" s="29" t="n">
        <f aca="false">COS($E$6*AE56)*SIN($E$6*AY56)</f>
        <v>0.760411789130656</v>
      </c>
      <c r="BA56" s="29" t="n">
        <f aca="false">COS($E$6*AE56)*COS($E$6*AY56)-AV56*AX56</f>
        <v>-0.65698912843066</v>
      </c>
      <c r="BB56" s="29" t="n">
        <f aca="false">SIN($E$6*AE56)-AW56*AX56</f>
        <v>-0.0778287621796619</v>
      </c>
      <c r="BC56" s="45" t="n">
        <f aca="false">SQRT(AZ56^2+BA56^2+BB56^2)</f>
        <v>1.00792763636453</v>
      </c>
      <c r="BD56" s="20" t="n">
        <f aca="false">AS56*BC56</f>
        <v>382951.657386431</v>
      </c>
      <c r="BE56" s="30" t="str">
        <f aca="false">IF(OR(AND(BD56&gt;BD55,BD56&gt;BD57),AND(BD56&lt;BD55,BD56&lt;BD57)),BD56,"")</f>
        <v/>
      </c>
    </row>
    <row r="57" customFormat="false" ht="15" hidden="false" customHeight="false" outlineLevel="0" collapsed="false">
      <c r="A57" s="31" t="n">
        <v>27.5</v>
      </c>
      <c r="F57" s="38" t="n">
        <f aca="false">AK57</f>
        <v>-32.2887587649545</v>
      </c>
      <c r="G57" s="39" t="n">
        <f aca="false">F57+1.02/(TAN($E$6*(F57+10.3/(F57+5.11)))*60)</f>
        <v>-32.3152718197998</v>
      </c>
      <c r="H57" s="38" t="n">
        <f aca="false">100*(1+COS($E$6*AO57))/2</f>
        <v>66.6944481672073</v>
      </c>
      <c r="I57" s="38" t="n">
        <f aca="false">IF(AG57&gt;180, AR57-180,AR57+180)</f>
        <v>307.945181958824</v>
      </c>
      <c r="J57" s="31" t="n">
        <f aca="false">J56+0.5/24</f>
        <v>2459915.64583333</v>
      </c>
      <c r="K57" s="47" t="n">
        <f aca="false">(J57-2451545)/36525</f>
        <v>0.229175792835987</v>
      </c>
      <c r="L57" s="31" t="n">
        <f aca="false">MOD(280.46061837+360.98564736629*(J57-2451545)+0.000387933*K57^2-K57^3/38710000+$E$4,360)</f>
        <v>138.465658908244</v>
      </c>
      <c r="M57" s="28" t="n">
        <f aca="false">0.606433+1336.855225*K57 - INT(0.606433+1336.855225*K57)</f>
        <v>0.981289096306568</v>
      </c>
      <c r="N57" s="31" t="n">
        <f aca="false">22640*SIN(O57)-4586*SIN(O57-2*Q57)+2370*SIN(2*Q57)+769*SIN(2*O57)-668*SIN(P57)-412*SIN(2*R57)-212*SIN(2*O57-2*Q57)-206*SIN(O57+P57-2*Q57)+192*SIN(O57+2*Q57)-165*SIN(P57-2*Q57)-125*SIN(Q57)-110*SIN(O57+P57)+148*SIN(O57-P57)-55*SIN(2*R57-2*Q57)</f>
        <v>21852.220786752</v>
      </c>
      <c r="O57" s="29" t="n">
        <f aca="false">2*PI()*(0.374897+1325.55241*K57 - INT(0.374897+1325.55241*K57))</f>
        <v>1.00167487296337</v>
      </c>
      <c r="P57" s="32" t="n">
        <f aca="false">2*PI()*(0.993133+99.997361*K57 - INT(0.993133+99.997361*K57))</f>
        <v>5.71837400083702</v>
      </c>
      <c r="Q57" s="32" t="n">
        <f aca="false">2*PI()*(0.827361+1236.853086*K57 - INT(0.827361+1236.853086*K57))</f>
        <v>1.78535206112315</v>
      </c>
      <c r="R57" s="32" t="n">
        <f aca="false">2*PI()*(0.259086+1342.227825*K57 - INT(0.259086+1342.227825*K57))</f>
        <v>5.4362870803055</v>
      </c>
      <c r="S57" s="32" t="n">
        <f aca="false">R57+(N57+412*SIN(2*R57)+541*SIN(P57))/206264.8062</f>
        <v>5.53884340145743</v>
      </c>
      <c r="T57" s="32" t="n">
        <f aca="false">R57-2*Q57</f>
        <v>1.86558295805919</v>
      </c>
      <c r="U57" s="24" t="n">
        <f aca="false">-526*SIN(T57)+44*SIN(O57+T57)-31*SIN(-O57+T57)-23*SIN(P57+T57)+11*SIN(-P57+T57)-25*SIN(-2*O57+R57)+21*SIN(-O57+R57)</f>
        <v>-542.963054502887</v>
      </c>
      <c r="V57" s="32" t="n">
        <f aca="false">2*PI()*(M57+N57/1296000-INT(M57+N57/1296000))</f>
        <v>6.2715637880094</v>
      </c>
      <c r="W57" s="31" t="n">
        <f aca="false">V57/$E$6</f>
        <v>359.334136000018</v>
      </c>
      <c r="X57" s="32" t="n">
        <f aca="false">(18520*SIN(S57)+U57)/206264.8062</f>
        <v>-0.0634623003542691</v>
      </c>
      <c r="Y57" s="32" t="n">
        <f aca="false">COS(X57)*COS(V57)</f>
        <v>0.997919550824743</v>
      </c>
      <c r="Z57" s="32" t="n">
        <f aca="false">COS(X57)*SIN(V57)</f>
        <v>-0.011597863329593</v>
      </c>
      <c r="AA57" s="32" t="n">
        <f aca="false">SIN(X57)</f>
        <v>-0.0634197102479277</v>
      </c>
      <c r="AB57" s="32" t="n">
        <f aca="false">COS($E$6*(23.4393-46.815*K57/3600))*Z57-SIN($E$6*(23.4393-46.815*K57/3600))*AA57</f>
        <v>0.0145828235999301</v>
      </c>
      <c r="AC57" s="32" t="n">
        <f aca="false">SIN($E$6*(23.4393-46.815*K57/3600))*Z57+COS($E$6*(23.4393-46.815*K57/3600))*AA57</f>
        <v>-0.0628005679719248</v>
      </c>
      <c r="AD57" s="32" t="n">
        <f aca="false">SQRT(1-AC57*AC57)</f>
        <v>0.998026096183063</v>
      </c>
      <c r="AE57" s="31" t="n">
        <f aca="false">ATAN(AC57/AD57)/$E$6</f>
        <v>-3.60057687185951</v>
      </c>
      <c r="AF57" s="32" t="n">
        <f aca="false">IF(24*ATAN(AB57/(Y57+AD57))/PI()&gt;0,24*ATAN(AB57/(Y57+AD57))/PI(),24*ATAN(AB57/(Y57+AD57))/PI()+24)</f>
        <v>0.0558144376460219</v>
      </c>
      <c r="AG57" s="31" t="n">
        <f aca="false">IF(L57-15*AF57&gt;0,L57-15*AF57,360+L57-15*AF57)</f>
        <v>137.628442343554</v>
      </c>
      <c r="AH57" s="29" t="n">
        <f aca="false">0.950724+0.051818*COS(O57)+0.009531*COS(2*Q57-O57)+0.007843*COS(2*Q57)+0.002824*COS(2*O57)+0.000857*COS(2*Q57+O57)+0.000533*COS(2*Q57-P57)*(1-0.002495*(J57-2415020)/36525)+0.000401*COS(2*Q57-P57-O57)*(1-0.002495*(J57-2415020)/36525)+0.00032*COS(O57-P57)*(1-0.002495*(J57-2415020)/36525)-0.000271*COS(Q57)</f>
        <v>0.961571563055842</v>
      </c>
      <c r="AI57" s="32" t="n">
        <f aca="false">ASIN(COS($E$6*$E$2)*COS($E$6*AE57)*COS($E$6*AG57)+SIN($E$6*$E$2)*SIN($E$6*AE57))/$E$6</f>
        <v>-31.4702447512944</v>
      </c>
      <c r="AJ57" s="29" t="n">
        <f aca="false">ASIN((0.9983271+0.0016764*COS($E$6*2*$E$2))*COS($E$6*AI57)*SIN($E$6*AH57))/$E$6</f>
        <v>0.818514013660107</v>
      </c>
      <c r="AK57" s="29" t="n">
        <f aca="false">AI57-AJ57</f>
        <v>-32.2887587649545</v>
      </c>
      <c r="AL57" s="31" t="n">
        <f aca="false"> MOD(280.4664567 + 360007.6982779*K57/10 + 0.03032028*K57^2/100 + K57^3/49931000,360)</f>
        <v>250.971440614569</v>
      </c>
      <c r="AM57" s="29" t="n">
        <f aca="false"> AL57 + (1.9146 - 0.004817*K57 - 0.000014*K57^2)*SIN(P57)+ (0.019993 - 0.000101*K57)*SIN(2*P57)+ 0.00029*SIN(3*P57)</f>
        <v>249.928884374633</v>
      </c>
      <c r="AN57" s="29" t="n">
        <f aca="false">ACOS(COS(V57-$E$6*AM57)*COS(X57))/$E$6</f>
        <v>109.364627322088</v>
      </c>
      <c r="AO57" s="24" t="n">
        <f aca="false">180 - AN57 -0.1468*(1-0.0549*SIN(P57))*SIN($E$6*AN57)/(1-0.0167*SIN($E$6*AM57))</f>
        <v>70.4950094584149</v>
      </c>
      <c r="AP57" s="48" t="n">
        <f aca="false">SIN($E$6*AG57)</f>
        <v>0.673935726023366</v>
      </c>
      <c r="AQ57" s="48" t="n">
        <f aca="false">COS($E$6*AG57)*SIN($E$6*$E$2) - TAN($E$6*AE57)*COS($E$6*$E$2)</f>
        <v>-0.525498694193828</v>
      </c>
      <c r="AR57" s="48" t="n">
        <f aca="false">IF(OR(AND(AP57*AQ57&gt;0), AND(AP57&lt;0,AQ57&gt;0)), MOD(ATAN2(AQ57,AP57)/$E$6+360,360),  ATAN2(AQ57,AP57)/$E$6)</f>
        <v>127.945181958824</v>
      </c>
      <c r="AS57" s="20" t="n">
        <f aca="false"> 385000.56 + (-20905355*COS(O57) - 3699111*COS(2*Q57-O57) - 2955968*COS(2*Q57) - 569925*COS(2*O57) + (1-0.002516*K57)*48888*COS(P57) - 3149*COS(2*R57)  +246158*COS(2*Q57-2*O57) -(1-0.002516*K57)*152138*COS(2*Q57-P57-O57) -170733*COS(2*Q57+O57) -(1-0.002516*K57)*204586*COS(2*Q57-P57) -(1-0.002516*K57)*129620*COS(P57-O57)  + 108743*COS(Q57) +(1-0.002516*K57)*104755*COS(P57+O57) +10321*COS(2*Q57-2*R57) +79661*COS(O57-2*R57) -34782*COS(4*Q57-O57) -23210*COS(3*O57)  -21636*COS(4*Q57-2*O57) +(1-0.002516*K57)*24208*COS(2*Q57+P57-O57) +(1-0.002516*K57)*30824*COS(2*Q57+P57) -8379*COS(Q57-O57) -(1-0.002516*K57)*16675*COS(Q57+P57)  -(1-0.002516*K57)*12831*COS(2*Q57-P57+O57) -10445*COS(2*Q57+2*O57) -11650*COS(4*Q57) +14403*COS(2*Q57-3*O57) -(1-0.002516*K57)*7003*COS(P57-2*O57)  + (1-0.002516*K57)*10056*COS(2*Q57-P57-2*O57) +6322*COS(Q57+O57) -(1-0.002516*K57)*(1-0.002516*K57)*9884*COS(2*Q57-2*P57) +(1-0.002516*K57)*5751*COS(P57+2*O57) -(1-0.002516*K57)*(1-0.002516*K57)*4950*COS(2*Q57-2*P57-O57)  +4130*COS(2*Q57+O57-2*R57) -(1-0.002516*K57)*3958*COS(4*Q57-P57-O57) +3258*COS(3*Q57-O57) +(1-0.002516*K57)*2616*COS(2*Q57+P57+O57) -(1-0.002516*K57)*1897*COS(4*Q57-P57-2*O57)  -(1-0.002516*K57)*(1-0.002516*K57)*2117*COS(2*P57-O57) +(1-0.002516*K57)*(1-0.002516*K57)*2354*COS(2*Q57+2*P57-O57) -1423*COS(4*Q57+O57) -1117*COS(4*O57) -(1-0.002516*K57)*1571*COS(4*Q57-P57)  -1739*COS(Q57-2*O57) -4421*COS(2*O57-2*R57) +(1-0.002516*K57)*(1-0.002516*K57)*1165*COS(2*P57+O57) +8752*COS(2*Q57-O57-2*R57))/1000</f>
        <v>380021.595989585</v>
      </c>
      <c r="AT57" s="24" t="n">
        <f aca="false">60*ATAN(3476/AS57)/$E$6</f>
        <v>31.4436723177694</v>
      </c>
      <c r="AU57" s="28" t="n">
        <f aca="false">ATAN(0.99664719*TAN($E$6*input!$D$2))</f>
        <v>0.871010436227447</v>
      </c>
      <c r="AV57" s="28" t="n">
        <f aca="false">COS(AU57)</f>
        <v>0.644053912545846</v>
      </c>
      <c r="AW57" s="28" t="n">
        <f aca="false">0.99664719*SIN(AU57)</f>
        <v>0.762415269897027</v>
      </c>
      <c r="AX57" s="28" t="n">
        <f aca="false">6378.14/AS57</f>
        <v>0.0167836251079131</v>
      </c>
      <c r="AY57" s="31" t="n">
        <f aca="false">L57-15*AF57</f>
        <v>137.628442343554</v>
      </c>
      <c r="AZ57" s="29" t="n">
        <f aca="false">COS($E$6*AE57)*SIN($E$6*AY57)</f>
        <v>0.672605441721398</v>
      </c>
      <c r="BA57" s="29" t="n">
        <f aca="false">COS($E$6*AE57)*COS($E$6*AY57)-AV57*AX57</f>
        <v>-0.748141240839843</v>
      </c>
      <c r="BB57" s="29" t="n">
        <f aca="false">SIN($E$6*AE57)-AW57*AX57</f>
        <v>-0.0755966600384248</v>
      </c>
      <c r="BC57" s="45" t="n">
        <f aca="false">SQRT(AZ57^2+BA57^2+BB57^2)</f>
        <v>1.00887474519267</v>
      </c>
      <c r="BD57" s="20" t="n">
        <f aca="false">AS57*BC57</f>
        <v>383394.190821706</v>
      </c>
      <c r="BE57" s="30" t="str">
        <f aca="false">IF(OR(AND(BD57&gt;BD56,BD57&gt;BD58),AND(BD57&lt;BD56,BD57&lt;BD58)),BD57,"")</f>
        <v/>
      </c>
    </row>
    <row r="58" customFormat="false" ht="15" hidden="false" customHeight="false" outlineLevel="0" collapsed="false">
      <c r="A58" s="31" t="n">
        <v>28</v>
      </c>
      <c r="F58" s="38" t="n">
        <f aca="false">AK58</f>
        <v>-35.6305551336048</v>
      </c>
      <c r="G58" s="39" t="n">
        <f aca="false">F58+1.02/(TAN($E$6*(F58+10.3/(F58+5.11)))*60)</f>
        <v>-35.6539811007496</v>
      </c>
      <c r="H58" s="38" t="n">
        <f aca="false">100*(1+COS($E$6*AO58))/2</f>
        <v>66.9064251904703</v>
      </c>
      <c r="I58" s="38" t="n">
        <f aca="false">IF(AG58&gt;180, AR58-180,AR58+180)</f>
        <v>315.627258140191</v>
      </c>
      <c r="J58" s="31" t="n">
        <f aca="false">J57+0.5/24</f>
        <v>2459915.66666667</v>
      </c>
      <c r="K58" s="47" t="n">
        <f aca="false">(J58-2451545)/36525</f>
        <v>0.229176363221572</v>
      </c>
      <c r="L58" s="31" t="n">
        <f aca="false">MOD(280.46061837+360.98564736629*(J58-2451545)+0.000387933*K58^2-K58^3/38710000+$E$4,360)</f>
        <v>145.986193284392</v>
      </c>
      <c r="M58" s="28" t="n">
        <f aca="false">0.606433+1336.855225*K58 - INT(0.606433+1336.855225*K58)</f>
        <v>0.982051619256026</v>
      </c>
      <c r="N58" s="31" t="n">
        <f aca="false">22640*SIN(O58)-4586*SIN(O58-2*Q58)+2370*SIN(2*Q58)+769*SIN(2*O58)-668*SIN(P58)-412*SIN(2*R58)-212*SIN(2*O58-2*Q58)-206*SIN(O58+P58-2*Q58)+192*SIN(O58+2*Q58)-165*SIN(P58-2*Q58)-125*SIN(Q58)-110*SIN(O58+P58)+148*SIN(O58-P58)-55*SIN(2*R58-2*Q58)</f>
        <v>21869.8949047125</v>
      </c>
      <c r="O58" s="29" t="n">
        <f aca="false">2*PI()*(0.374897+1325.55241*K58 - INT(0.374897+1325.55241*K58))</f>
        <v>1.00642543849421</v>
      </c>
      <c r="P58" s="32" t="n">
        <f aca="false">2*PI()*(0.993133+99.997361*K58 - INT(0.993133+99.997361*K58))</f>
        <v>5.71873237521192</v>
      </c>
      <c r="Q58" s="32" t="n">
        <f aca="false">2*PI()*(0.827361+1236.853086*K58 - INT(0.827361+1236.853086*K58))</f>
        <v>1.78978474261677</v>
      </c>
      <c r="R58" s="32" t="n">
        <f aca="false">2*PI()*(0.259086+1342.227825*K58 - INT(0.259086+1342.227825*K58))</f>
        <v>5.44109740782745</v>
      </c>
      <c r="S58" s="32" t="n">
        <f aca="false">R58+(N58+412*SIN(2*R58)+541*SIN(P58))/206264.8062</f>
        <v>5.54373794367105</v>
      </c>
      <c r="T58" s="32" t="n">
        <f aca="false">R58-2*Q58</f>
        <v>1.8615279225939</v>
      </c>
      <c r="U58" s="24" t="n">
        <f aca="false">-526*SIN(T58)+44*SIN(O58+T58)-31*SIN(-O58+T58)-23*SIN(P58+T58)+11*SIN(-P58+T58)-25*SIN(-2*O58+R58)+21*SIN(-O58+R58)</f>
        <v>-543.483084798992</v>
      </c>
      <c r="V58" s="32" t="n">
        <f aca="false">2*PI()*(M58+N58/1296000-INT(M58+N58/1296000))</f>
        <v>6.27644054754371</v>
      </c>
      <c r="W58" s="31" t="n">
        <f aca="false">V58/$E$6</f>
        <v>359.613553739034</v>
      </c>
      <c r="X58" s="32" t="n">
        <f aca="false">(18520*SIN(S58)+U58)/206264.8062</f>
        <v>-0.0631408500702981</v>
      </c>
      <c r="Y58" s="32" t="n">
        <f aca="false">COS(X58)*COS(V58)</f>
        <v>0.997984578222149</v>
      </c>
      <c r="Z58" s="32" t="n">
        <f aca="false">COS(X58)*SIN(V58)</f>
        <v>-0.00673126817319313</v>
      </c>
      <c r="AA58" s="32" t="n">
        <f aca="false">SIN(X58)</f>
        <v>-0.0630989037903228</v>
      </c>
      <c r="AB58" s="32" t="n">
        <f aca="false">COS($E$6*(23.4393-46.815*K58/3600))*Z58-SIN($E$6*(23.4393-46.815*K58/3600))*AA58</f>
        <v>0.0189203435208062</v>
      </c>
      <c r="AC58" s="32" t="n">
        <f aca="false">SIN($E$6*(23.4393-46.815*K58/3600))*Z58+COS($E$6*(23.4393-46.815*K58/3600))*AA58</f>
        <v>-0.0605706383639346</v>
      </c>
      <c r="AD58" s="32" t="n">
        <f aca="false">SQRT(1-AC58*AC58)</f>
        <v>0.998163913276865</v>
      </c>
      <c r="AE58" s="31" t="n">
        <f aca="false">ATAN(AC58/AD58)/$E$6</f>
        <v>-3.47256751263258</v>
      </c>
      <c r="AF58" s="32" t="n">
        <f aca="false">IF(24*ATAN(AB58/(Y58+AD58))/PI()&gt;0,24*ATAN(AB58/(Y58+AD58))/PI(),24*ATAN(AB58/(Y58+AD58))/PI()+24)</f>
        <v>0.0724076639250154</v>
      </c>
      <c r="AG58" s="31" t="n">
        <f aca="false">IF(L58-15*AF58&gt;0,L58-15*AF58,360+L58-15*AF58)</f>
        <v>144.900078325517</v>
      </c>
      <c r="AH58" s="29" t="n">
        <f aca="false">0.950724+0.051818*COS(O58)+0.009531*COS(2*Q58-O58)+0.007843*COS(2*Q58)+0.002824*COS(2*O58)+0.000857*COS(2*Q58+O58)+0.000533*COS(2*Q58-P58)*(1-0.002495*(J58-2415020)/36525)+0.000401*COS(2*Q58-P58-O58)*(1-0.002495*(J58-2415020)/36525)+0.00032*COS(O58-P58)*(1-0.002495*(J58-2415020)/36525)-0.000271*COS(Q58)</f>
        <v>0.961362736430758</v>
      </c>
      <c r="AI58" s="32" t="n">
        <f aca="false">ASIN(COS($E$6*$E$2)*COS($E$6*AE58)*COS($E$6*AG58)+SIN($E$6*$E$2)*SIN($E$6*AE58))/$E$6</f>
        <v>-34.8431076808404</v>
      </c>
      <c r="AJ58" s="29" t="n">
        <f aca="false">ASIN((0.9983271+0.0016764*COS($E$6*2*$E$2))*COS($E$6*AI58)*SIN($E$6*AH58))/$E$6</f>
        <v>0.787447452764428</v>
      </c>
      <c r="AK58" s="29" t="n">
        <f aca="false">AI58-AJ58</f>
        <v>-35.6305551336048</v>
      </c>
      <c r="AL58" s="31" t="n">
        <f aca="false"> MOD(280.4664567 + 360007.6982779*K58/10 + 0.03032028*K58^2/100 + K58^3/49931000,360)</f>
        <v>250.991974934805</v>
      </c>
      <c r="AM58" s="29" t="n">
        <f aca="false"> AL58 + (1.9146 - 0.004817*K58 - 0.000014*K58^2)*SIN(P58)+ (0.019993 - 0.000101*K58)*SIN(2*P58)+ 0.00029*SIN(3*P58)</f>
        <v>249.950004084282</v>
      </c>
      <c r="AN58" s="29" t="n">
        <f aca="false">ACOS(COS(V58-$E$6*AM58)*COS(X58))/$E$6</f>
        <v>109.622756372427</v>
      </c>
      <c r="AO58" s="24" t="n">
        <f aca="false">180 - AN58 -0.1468*(1-0.0549*SIN(P58))*SIN($E$6*AN58)/(1-0.0167*SIN($E$6*AM58))</f>
        <v>70.2371066378946</v>
      </c>
      <c r="AP58" s="48" t="n">
        <f aca="false">SIN($E$6*AG58)</f>
        <v>0.575004133600855</v>
      </c>
      <c r="AQ58" s="48" t="n">
        <f aca="false">COS($E$6*AG58)*SIN($E$6*$E$2) - TAN($E$6*AE58)*COS($E$6*$E$2)</f>
        <v>-0.58773397317395</v>
      </c>
      <c r="AR58" s="48" t="n">
        <f aca="false">IF(OR(AND(AP58*AQ58&gt;0), AND(AP58&lt;0,AQ58&gt;0)), MOD(ATAN2(AQ58,AP58)/$E$6+360,360),  ATAN2(AQ58,AP58)/$E$6)</f>
        <v>135.627258140191</v>
      </c>
      <c r="AS58" s="20" t="n">
        <f aca="false"> 385000.56 + (-20905355*COS(O58) - 3699111*COS(2*Q58-O58) - 2955968*COS(2*Q58) - 569925*COS(2*O58) + (1-0.002516*K58)*48888*COS(P58) - 3149*COS(2*R58)  +246158*COS(2*Q58-2*O58) -(1-0.002516*K58)*152138*COS(2*Q58-P58-O58) -170733*COS(2*Q58+O58) -(1-0.002516*K58)*204586*COS(2*Q58-P58) -(1-0.002516*K58)*129620*COS(P58-O58)  + 108743*COS(Q58) +(1-0.002516*K58)*104755*COS(P58+O58) +10321*COS(2*Q58-2*R58) +79661*COS(O58-2*R58) -34782*COS(4*Q58-O58) -23210*COS(3*O58)  -21636*COS(4*Q58-2*O58) +(1-0.002516*K58)*24208*COS(2*Q58+P58-O58) +(1-0.002516*K58)*30824*COS(2*Q58+P58) -8379*COS(Q58-O58) -(1-0.002516*K58)*16675*COS(Q58+P58)  -(1-0.002516*K58)*12831*COS(2*Q58-P58+O58) -10445*COS(2*Q58+2*O58) -11650*COS(4*Q58) +14403*COS(2*Q58-3*O58) -(1-0.002516*K58)*7003*COS(P58-2*O58)  + (1-0.002516*K58)*10056*COS(2*Q58-P58-2*O58) +6322*COS(Q58+O58) -(1-0.002516*K58)*(1-0.002516*K58)*9884*COS(2*Q58-2*P58) +(1-0.002516*K58)*5751*COS(P58+2*O58) -(1-0.002516*K58)*(1-0.002516*K58)*4950*COS(2*Q58-2*P58-O58)  +4130*COS(2*Q58+O58-2*R58) -(1-0.002516*K58)*3958*COS(4*Q58-P58-O58) +3258*COS(3*Q58-O58) +(1-0.002516*K58)*2616*COS(2*Q58+P58+O58) -(1-0.002516*K58)*1897*COS(4*Q58-P58-2*O58)  -(1-0.002516*K58)*(1-0.002516*K58)*2117*COS(2*P58-O58) +(1-0.002516*K58)*(1-0.002516*K58)*2354*COS(2*Q58+2*P58-O58) -1423*COS(4*Q58+O58) -1117*COS(4*O58) -(1-0.002516*K58)*1571*COS(4*Q58-P58)  -1739*COS(Q58-2*O58) -4421*COS(2*O58-2*R58) +(1-0.002516*K58)*(1-0.002516*K58)*1165*COS(2*P58+O58) +8752*COS(2*Q58-O58-2*R58))/1000</f>
        <v>380103.522563297</v>
      </c>
      <c r="AT58" s="24" t="n">
        <f aca="false">60*ATAN(3476/AS58)/$E$6</f>
        <v>31.436895404225</v>
      </c>
      <c r="AU58" s="28" t="n">
        <f aca="false">ATAN(0.99664719*TAN($E$6*input!$D$2))</f>
        <v>0.871010436227447</v>
      </c>
      <c r="AV58" s="28" t="n">
        <f aca="false">COS(AU58)</f>
        <v>0.644053912545846</v>
      </c>
      <c r="AW58" s="28" t="n">
        <f aca="false">0.99664719*SIN(AU58)</f>
        <v>0.762415269897027</v>
      </c>
      <c r="AX58" s="28" t="n">
        <f aca="false">6378.14/AS58</f>
        <v>0.0167800076068431</v>
      </c>
      <c r="AY58" s="31" t="n">
        <f aca="false">L58-15*AF58</f>
        <v>144.900078325517</v>
      </c>
      <c r="AZ58" s="29" t="n">
        <f aca="false">COS($E$6*AE58)*SIN($E$6*AY58)</f>
        <v>0.573948376145403</v>
      </c>
      <c r="BA58" s="29" t="n">
        <f aca="false">COS($E$6*AE58)*COS($E$6*AY58)-AV58*AX58</f>
        <v>-0.827455537753156</v>
      </c>
      <c r="BB58" s="29" t="n">
        <f aca="false">SIN($E$6*AE58)-AW58*AX58</f>
        <v>-0.0733639723923801</v>
      </c>
      <c r="BC58" s="45" t="n">
        <f aca="false">SQRT(AZ58^2+BA58^2+BB58^2)</f>
        <v>1.00969385354349</v>
      </c>
      <c r="BD58" s="20" t="n">
        <f aca="false">AS58*BC58</f>
        <v>383788.19044239</v>
      </c>
      <c r="BE58" s="30" t="str">
        <f aca="false">IF(OR(AND(BD58&gt;BD57,BD58&gt;BD59),AND(BD58&lt;BD57,BD58&lt;BD59)),BD58,"")</f>
        <v/>
      </c>
    </row>
    <row r="59" customFormat="false" ht="15" hidden="false" customHeight="false" outlineLevel="0" collapsed="false">
      <c r="A59" s="31" t="n">
        <v>28.5</v>
      </c>
      <c r="F59" s="38" t="n">
        <f aca="false">AK59</f>
        <v>-38.5053261145132</v>
      </c>
      <c r="G59" s="39" t="n">
        <f aca="false">F59+1.02/(TAN($E$6*(F59+10.3/(F59+5.11)))*60)</f>
        <v>-38.5264594608085</v>
      </c>
      <c r="H59" s="38" t="n">
        <f aca="false">100*(1+COS($E$6*AO59))/2</f>
        <v>67.1179631334982</v>
      </c>
      <c r="I59" s="38" t="n">
        <f aca="false">IF(AG59&gt;180, AR59-180,AR59+180)</f>
        <v>323.887966734152</v>
      </c>
      <c r="J59" s="31" t="n">
        <f aca="false">J58+0.5/24</f>
        <v>2459915.6875</v>
      </c>
      <c r="K59" s="47" t="n">
        <f aca="false">(J59-2451545)/36525</f>
        <v>0.229176933607157</v>
      </c>
      <c r="L59" s="31" t="n">
        <f aca="false">MOD(280.46061837+360.98564736629*(J59-2451545)+0.000387933*K59^2-K59^3/38710000+$E$4,360)</f>
        <v>153.506727660541</v>
      </c>
      <c r="M59" s="28" t="n">
        <f aca="false">0.606433+1336.855225*K59 - INT(0.606433+1336.855225*K59)</f>
        <v>0.982814142205484</v>
      </c>
      <c r="N59" s="31" t="n">
        <f aca="false">22640*SIN(O59)-4586*SIN(O59-2*Q59)+2370*SIN(2*Q59)+769*SIN(2*O59)-668*SIN(P59)-412*SIN(2*R59)-212*SIN(2*O59-2*Q59)-206*SIN(O59+P59-2*Q59)+192*SIN(O59+2*Q59)-165*SIN(P59-2*Q59)-125*SIN(Q59)-110*SIN(O59+P59)+148*SIN(O59-P59)-55*SIN(2*R59-2*Q59)</f>
        <v>21887.119912801</v>
      </c>
      <c r="O59" s="29" t="n">
        <f aca="false">2*PI()*(0.374897+1325.55241*K59 - INT(0.374897+1325.55241*K59))</f>
        <v>1.01117600402505</v>
      </c>
      <c r="P59" s="32" t="n">
        <f aca="false">2*PI()*(0.993133+99.997361*K59 - INT(0.993133+99.997361*K59))</f>
        <v>5.71909074958682</v>
      </c>
      <c r="Q59" s="32" t="n">
        <f aca="false">2*PI()*(0.827361+1236.853086*K59 - INT(0.827361+1236.853086*K59))</f>
        <v>1.79421742411075</v>
      </c>
      <c r="R59" s="32" t="n">
        <f aca="false">2*PI()*(0.259086+1342.227825*K59 - INT(0.259086+1342.227825*K59))</f>
        <v>5.44590773534975</v>
      </c>
      <c r="S59" s="32" t="n">
        <f aca="false">R59+(N59+412*SIN(2*R59)+541*SIN(P59))/206264.8062</f>
        <v>5.54863049240706</v>
      </c>
      <c r="T59" s="32" t="n">
        <f aca="false">R59-2*Q59</f>
        <v>1.85747288712826</v>
      </c>
      <c r="U59" s="24" t="n">
        <f aca="false">-526*SIN(T59)+44*SIN(O59+T59)-31*SIN(-O59+T59)-23*SIN(P59+T59)+11*SIN(-P59+T59)-25*SIN(-2*O59+R59)+21*SIN(-O59+R59)</f>
        <v>-543.993014167766</v>
      </c>
      <c r="V59" s="32" t="n">
        <f aca="false">2*PI()*(M59+N59/1296000-INT(M59+N59/1296000))</f>
        <v>6.28131512973192</v>
      </c>
      <c r="W59" s="31" t="n">
        <f aca="false">V59/$E$6</f>
        <v>359.892846725308</v>
      </c>
      <c r="X59" s="32" t="n">
        <f aca="false">(18520*SIN(S59)+U59)/206264.8062</f>
        <v>-0.0628180341380012</v>
      </c>
      <c r="Y59" s="32" t="n">
        <f aca="false">COS(X59)*COS(V59)</f>
        <v>0.998025850698981</v>
      </c>
      <c r="Z59" s="32" t="n">
        <f aca="false">COS(X59)*SIN(V59)</f>
        <v>-0.00186648761422379</v>
      </c>
      <c r="AA59" s="32" t="n">
        <f aca="false">SIN(X59)</f>
        <v>-0.062776727858033</v>
      </c>
      <c r="AB59" s="32" t="n">
        <f aca="false">COS($E$6*(23.4393-46.815*K59/3600))*Z59-SIN($E$6*(23.4393-46.815*K59/3600))*AA59</f>
        <v>0.0232556538636525</v>
      </c>
      <c r="AC59" s="32" t="n">
        <f aca="false">SIN($E$6*(23.4393-46.815*K59/3600))*Z59+COS($E$6*(23.4393-46.815*K59/3600))*AA59</f>
        <v>-0.0583401739794249</v>
      </c>
      <c r="AD59" s="32" t="n">
        <f aca="false">SQRT(1-AC59*AC59)</f>
        <v>0.998296761539398</v>
      </c>
      <c r="AE59" s="31" t="n">
        <f aca="false">ATAN(AC59/AD59)/$E$6</f>
        <v>-3.34454481323375</v>
      </c>
      <c r="AF59" s="32" t="n">
        <f aca="false">IF(24*ATAN(AB59/(Y59+AD59))/PI()&gt;0,24*ATAN(AB59/(Y59+AD59))/PI(),24*ATAN(AB59/(Y59+AD59))/PI()+24)</f>
        <v>0.0889896612606496</v>
      </c>
      <c r="AG59" s="31" t="n">
        <f aca="false">IF(L59-15*AF59&gt;0,L59-15*AF59,360+L59-15*AF59)</f>
        <v>152.171882741631</v>
      </c>
      <c r="AH59" s="29" t="n">
        <f aca="false">0.950724+0.051818*COS(O59)+0.009531*COS(2*Q59-O59)+0.007843*COS(2*Q59)+0.002824*COS(2*O59)+0.000857*COS(2*Q59+O59)+0.000533*COS(2*Q59-P59)*(1-0.002495*(J59-2415020)/36525)+0.000401*COS(2*Q59-P59-O59)*(1-0.002495*(J59-2415020)/36525)+0.00032*COS(O59-P59)*(1-0.002495*(J59-2415020)/36525)-0.000271*COS(Q59)</f>
        <v>0.961154132796129</v>
      </c>
      <c r="AI59" s="32" t="n">
        <f aca="false">ASIN(COS($E$6*$E$2)*COS($E$6*AE59)*COS($E$6*AG59)+SIN($E$6*$E$2)*SIN($E$6*AE59))/$E$6</f>
        <v>-37.7468250341267</v>
      </c>
      <c r="AJ59" s="29" t="n">
        <f aca="false">ASIN((0.9983271+0.0016764*COS($E$6*2*$E$2))*COS($E$6*AI59)*SIN($E$6*AH59))/$E$6</f>
        <v>0.758501080386494</v>
      </c>
      <c r="AK59" s="29" t="n">
        <f aca="false">AI59-AJ59</f>
        <v>-38.5053261145132</v>
      </c>
      <c r="AL59" s="31" t="n">
        <f aca="false"> MOD(280.4664567 + 360007.6982779*K59/10 + 0.03032028*K59^2/100 + K59^3/49931000,360)</f>
        <v>251.012509255037</v>
      </c>
      <c r="AM59" s="29" t="n">
        <f aca="false"> AL59 + (1.9146 - 0.004817*K59 - 0.000014*K59^2)*SIN(P59)+ (0.019993 - 0.000101*K59)*SIN(2*P59)+ 0.00029*SIN(3*P59)</f>
        <v>249.971123934999</v>
      </c>
      <c r="AN59" s="29" t="n">
        <f aca="false">ACOS(COS(V59-$E$6*AM59)*COS(X59))/$E$6</f>
        <v>109.880770421712</v>
      </c>
      <c r="AO59" s="24" t="n">
        <f aca="false">180 - AN59 -0.1468*(1-0.0549*SIN(P59))*SIN($E$6*AN59)/(1-0.0167*SIN($E$6*AM59))</f>
        <v>69.9793215532199</v>
      </c>
      <c r="AP59" s="48" t="n">
        <f aca="false">SIN($E$6*AG59)</f>
        <v>0.466820682312742</v>
      </c>
      <c r="AQ59" s="48" t="n">
        <f aca="false">COS($E$6*AG59)*SIN($E$6*$E$2) - TAN($E$6*AE59)*COS($E$6*$E$2)</f>
        <v>-0.639888609337491</v>
      </c>
      <c r="AR59" s="48" t="n">
        <f aca="false">IF(OR(AND(AP59*AQ59&gt;0), AND(AP59&lt;0,AQ59&gt;0)), MOD(ATAN2(AQ59,AP59)/$E$6+360,360),  ATAN2(AQ59,AP59)/$E$6)</f>
        <v>143.887966734152</v>
      </c>
      <c r="AS59" s="20" t="n">
        <f aca="false"> 385000.56 + (-20905355*COS(O59) - 3699111*COS(2*Q59-O59) - 2955968*COS(2*Q59) - 569925*COS(2*O59) + (1-0.002516*K59)*48888*COS(P59) - 3149*COS(2*R59)  +246158*COS(2*Q59-2*O59) -(1-0.002516*K59)*152138*COS(2*Q59-P59-O59) -170733*COS(2*Q59+O59) -(1-0.002516*K59)*204586*COS(2*Q59-P59) -(1-0.002516*K59)*129620*COS(P59-O59)  + 108743*COS(Q59) +(1-0.002516*K59)*104755*COS(P59+O59) +10321*COS(2*Q59-2*R59) +79661*COS(O59-2*R59) -34782*COS(4*Q59-O59) -23210*COS(3*O59)  -21636*COS(4*Q59-2*O59) +(1-0.002516*K59)*24208*COS(2*Q59+P59-O59) +(1-0.002516*K59)*30824*COS(2*Q59+P59) -8379*COS(Q59-O59) -(1-0.002516*K59)*16675*COS(Q59+P59)  -(1-0.002516*K59)*12831*COS(2*Q59-P59+O59) -10445*COS(2*Q59+2*O59) -11650*COS(4*Q59) +14403*COS(2*Q59-3*O59) -(1-0.002516*K59)*7003*COS(P59-2*O59)  + (1-0.002516*K59)*10056*COS(2*Q59-P59-2*O59) +6322*COS(Q59+O59) -(1-0.002516*K59)*(1-0.002516*K59)*9884*COS(2*Q59-2*P59) +(1-0.002516*K59)*5751*COS(P59+2*O59) -(1-0.002516*K59)*(1-0.002516*K59)*4950*COS(2*Q59-2*P59-O59)  +4130*COS(2*Q59+O59-2*R59) -(1-0.002516*K59)*3958*COS(4*Q59-P59-O59) +3258*COS(3*Q59-O59) +(1-0.002516*K59)*2616*COS(2*Q59+P59+O59) -(1-0.002516*K59)*1897*COS(4*Q59-P59-2*O59)  -(1-0.002516*K59)*(1-0.002516*K59)*2117*COS(2*P59-O59) +(1-0.002516*K59)*(1-0.002516*K59)*2354*COS(2*Q59+2*P59-O59) -1423*COS(4*Q59+O59) -1117*COS(4*O59) -(1-0.002516*K59)*1571*COS(4*Q59-P59)  -1739*COS(Q59-2*O59) -4421*COS(2*O59-2*R59) +(1-0.002516*K59)*(1-0.002516*K59)*1165*COS(2*P59+O59) +8752*COS(2*Q59-O59-2*R59))/1000</f>
        <v>380185.412793355</v>
      </c>
      <c r="AT59" s="24" t="n">
        <f aca="false">60*ATAN(3476/AS59)/$E$6</f>
        <v>31.4301244155463</v>
      </c>
      <c r="AU59" s="28" t="n">
        <f aca="false">ATAN(0.99664719*TAN($E$6*input!$D$2))</f>
        <v>0.871010436227447</v>
      </c>
      <c r="AV59" s="28" t="n">
        <f aca="false">COS(AU59)</f>
        <v>0.644053912545846</v>
      </c>
      <c r="AW59" s="28" t="n">
        <f aca="false">0.99664719*SIN(AU59)</f>
        <v>0.762415269897027</v>
      </c>
      <c r="AX59" s="28" t="n">
        <f aca="false">6378.14/AS59</f>
        <v>0.0167763932685833</v>
      </c>
      <c r="AY59" s="31" t="n">
        <f aca="false">L59-15*AF59</f>
        <v>152.171882741631</v>
      </c>
      <c r="AZ59" s="29" t="n">
        <f aca="false">COS($E$6*AE59)*SIN($E$6*AY59)</f>
        <v>0.466025575372422</v>
      </c>
      <c r="BA59" s="29" t="n">
        <f aca="false">COS($E$6*AE59)*COS($E$6*AY59)-AV59*AX59</f>
        <v>-0.893650634112822</v>
      </c>
      <c r="BB59" s="29" t="n">
        <f aca="false">SIN($E$6*AE59)-AW59*AX59</f>
        <v>-0.0711307523811905</v>
      </c>
      <c r="BC59" s="45" t="n">
        <f aca="false">SQRT(AZ59^2+BA59^2+BB59^2)</f>
        <v>1.01037165275247</v>
      </c>
      <c r="BD59" s="20" t="n">
        <f aca="false">AS59*BC59</f>
        <v>384128.563876403</v>
      </c>
      <c r="BE59" s="30" t="str">
        <f aca="false">IF(OR(AND(BD59&gt;BD58,BD59&gt;BD60),AND(BD59&lt;BD58,BD59&lt;BD60)),BD59,"")</f>
        <v/>
      </c>
    </row>
    <row r="60" customFormat="false" ht="15" hidden="false" customHeight="false" outlineLevel="0" collapsed="false">
      <c r="A60" s="31" t="n">
        <v>29</v>
      </c>
      <c r="F60" s="38" t="n">
        <f aca="false">AK60</f>
        <v>-40.816607385859</v>
      </c>
      <c r="G60" s="39" t="n">
        <f aca="false">F60+1.02/(TAN($E$6*(F60+10.3/(F60+5.11)))*60)</f>
        <v>-40.8360913714679</v>
      </c>
      <c r="H60" s="38" t="n">
        <f aca="false">100*(1+COS($E$6*AO60))/2</f>
        <v>67.3290583556167</v>
      </c>
      <c r="I60" s="38" t="n">
        <f aca="false">IF(AG60&gt;180, AR60-180,AR60+180)</f>
        <v>332.729272602867</v>
      </c>
      <c r="J60" s="31" t="n">
        <f aca="false">J59+0.5/24</f>
        <v>2459915.70833334</v>
      </c>
      <c r="K60" s="47" t="n">
        <f aca="false">(J60-2451545)/36525</f>
        <v>0.229177503992742</v>
      </c>
      <c r="L60" s="31" t="n">
        <f aca="false">MOD(280.46061837+360.98564736629*(J60-2451545)+0.000387933*K60^2-K60^3/38710000+$E$4,360)</f>
        <v>161.027262036689</v>
      </c>
      <c r="M60" s="28" t="n">
        <f aca="false">0.606433+1336.855225*K60 - INT(0.606433+1336.855225*K60)</f>
        <v>0.983576665154885</v>
      </c>
      <c r="N60" s="31" t="n">
        <f aca="false">22640*SIN(O60)-4586*SIN(O60-2*Q60)+2370*SIN(2*Q60)+769*SIN(2*O60)-668*SIN(P60)-412*SIN(2*R60)-212*SIN(2*O60-2*Q60)-206*SIN(O60+P60-2*Q60)+192*SIN(O60+2*Q60)-165*SIN(P60-2*Q60)-125*SIN(Q60)-110*SIN(O60+P60)+148*SIN(O60-P60)-55*SIN(2*R60-2*Q60)</f>
        <v>21903.896658762</v>
      </c>
      <c r="O60" s="29" t="n">
        <f aca="false">2*PI()*(0.374897+1325.55241*K60 - INT(0.374897+1325.55241*K60))</f>
        <v>1.01592656955553</v>
      </c>
      <c r="P60" s="32" t="n">
        <f aca="false">2*PI()*(0.993133+99.997361*K60 - INT(0.993133+99.997361*K60))</f>
        <v>5.71944912396174</v>
      </c>
      <c r="Q60" s="32" t="n">
        <f aca="false">2*PI()*(0.827361+1236.853086*K60 - INT(0.827361+1236.853086*K60))</f>
        <v>1.79865010560472</v>
      </c>
      <c r="R60" s="32" t="n">
        <f aca="false">2*PI()*(0.259086+1342.227825*K60 - INT(0.259086+1342.227825*K60))</f>
        <v>5.4507180628717</v>
      </c>
      <c r="S60" s="32" t="n">
        <f aca="false">R60+(N60+412*SIN(2*R60)+541*SIN(P60))/206264.8062</f>
        <v>5.55352105196733</v>
      </c>
      <c r="T60" s="32" t="n">
        <f aca="false">R60-2*Q60</f>
        <v>1.85341785166225</v>
      </c>
      <c r="U60" s="24" t="n">
        <f aca="false">-526*SIN(T60)+44*SIN(O60+T60)-31*SIN(-O60+T60)-23*SIN(P60+T60)+11*SIN(-P60+T60)-25*SIN(-2*O60+R60)+21*SIN(-O60+R60)</f>
        <v>-544.492845118973</v>
      </c>
      <c r="V60" s="32" t="n">
        <f aca="false">2*PI()*(M60+N60/1296000-INT(M60+N60/1296000))</f>
        <v>0.00300223150405671</v>
      </c>
      <c r="W60" s="31" t="n">
        <f aca="false">V60/$E$6</f>
        <v>0.172015194303663</v>
      </c>
      <c r="X60" s="32" t="n">
        <f aca="false">(18520*SIN(S60)+U60)/206264.8062</f>
        <v>-0.0624938618336592</v>
      </c>
      <c r="Y60" s="32" t="n">
        <f aca="false">COS(X60)*COS(V60)</f>
        <v>0.998043396170906</v>
      </c>
      <c r="Z60" s="32" t="n">
        <f aca="false">COS(X60)*SIN(V60)</f>
        <v>0.00299636632888223</v>
      </c>
      <c r="AA60" s="32" t="n">
        <f aca="false">SIN(X60)</f>
        <v>-0.0624531916595669</v>
      </c>
      <c r="AB60" s="32" t="n">
        <f aca="false">COS($E$6*(23.4393-46.815*K60/3600))*Z60-SIN($E$6*(23.4393-46.815*K60/3600))*AA60</f>
        <v>0.0275886555137523</v>
      </c>
      <c r="AC60" s="32" t="n">
        <f aca="false">SIN($E$6*(23.4393-46.815*K60/3600))*Z60+COS($E$6*(23.4393-46.815*K60/3600))*AA60</f>
        <v>-0.05610922782027</v>
      </c>
      <c r="AD60" s="32" t="n">
        <f aca="false">SQRT(1-AC60*AC60)</f>
        <v>0.998424636391457</v>
      </c>
      <c r="AE60" s="31" t="n">
        <f aca="false">ATAN(AC60/AD60)/$E$6</f>
        <v>-3.21651118151873</v>
      </c>
      <c r="AF60" s="32" t="n">
        <f aca="false">IF(24*ATAN(AB60/(Y60+AD60))/PI()&gt;0,24*ATAN(AB60/(Y60+AD60))/PI(),24*ATAN(AB60/(Y60+AD60))/PI()+24)</f>
        <v>0.105560612898575</v>
      </c>
      <c r="AG60" s="31" t="n">
        <f aca="false">IF(L60-15*AF60&gt;0,L60-15*AF60,360+L60-15*AF60)</f>
        <v>159.44385284321</v>
      </c>
      <c r="AH60" s="29" t="n">
        <f aca="false">0.950724+0.051818*COS(O60)+0.009531*COS(2*Q60-O60)+0.007843*COS(2*Q60)+0.002824*COS(2*O60)+0.000857*COS(2*Q60+O60)+0.000533*COS(2*Q60-P60)*(1-0.002495*(J60-2415020)/36525)+0.000401*COS(2*Q60-P60-O60)*(1-0.002495*(J60-2415020)/36525)+0.00032*COS(O60-P60)*(1-0.002495*(J60-2415020)/36525)-0.000271*COS(Q60)</f>
        <v>0.960945754633747</v>
      </c>
      <c r="AI60" s="32" t="n">
        <f aca="false">ASIN(COS($E$6*$E$2)*COS($E$6*AE60)*COS($E$6*AG60)+SIN($E$6*$E$2)*SIN($E$6*AE60))/$E$6</f>
        <v>-40.0828323269681</v>
      </c>
      <c r="AJ60" s="29" t="n">
        <f aca="false">ASIN((0.9983271+0.0016764*COS($E$6*2*$E$2))*COS($E$6*AI60)*SIN($E$6*AH60))/$E$6</f>
        <v>0.733775058890984</v>
      </c>
      <c r="AK60" s="29" t="n">
        <f aca="false">AI60-AJ60</f>
        <v>-40.816607385859</v>
      </c>
      <c r="AL60" s="31" t="n">
        <f aca="false"> MOD(280.4664567 + 360007.6982779*K60/10 + 0.03032028*K60^2/100 + K60^3/49931000,360)</f>
        <v>251.033043575273</v>
      </c>
      <c r="AM60" s="29" t="n">
        <f aca="false"> AL60 + (1.9146 - 0.004817*K60 - 0.000014*K60^2)*SIN(P60)+ (0.019993 - 0.000101*K60)*SIN(2*P60)+ 0.00029*SIN(3*P60)</f>
        <v>249.992243926714</v>
      </c>
      <c r="AN60" s="29" t="n">
        <f aca="false">ACOS(COS(V60-$E$6*AM60)*COS(X60))/$E$6</f>
        <v>110.138669668759</v>
      </c>
      <c r="AO60" s="24" t="n">
        <f aca="false">180 - AN60 -0.1468*(1-0.0549*SIN(P60))*SIN($E$6*AN60)/(1-0.0167*SIN($E$6*AM60))</f>
        <v>69.721653997213</v>
      </c>
      <c r="AP60" s="48" t="n">
        <f aca="false">SIN($E$6*AG60)</f>
        <v>0.351125107448421</v>
      </c>
      <c r="AQ60" s="48" t="n">
        <f aca="false">COS($E$6*AG60)*SIN($E$6*$E$2) - TAN($E$6*AE60)*COS($E$6*$E$2)</f>
        <v>-0.681146061215677</v>
      </c>
      <c r="AR60" s="48" t="n">
        <f aca="false">IF(OR(AND(AP60*AQ60&gt;0), AND(AP60&lt;0,AQ60&gt;0)), MOD(ATAN2(AQ60,AP60)/$E$6+360,360),  ATAN2(AQ60,AP60)/$E$6)</f>
        <v>152.729272602867</v>
      </c>
      <c r="AS60" s="20" t="n">
        <f aca="false"> 385000.56 + (-20905355*COS(O60) - 3699111*COS(2*Q60-O60) - 2955968*COS(2*Q60) - 569925*COS(2*O60) + (1-0.002516*K60)*48888*COS(P60) - 3149*COS(2*R60)  +246158*COS(2*Q60-2*O60) -(1-0.002516*K60)*152138*COS(2*Q60-P60-O60) -170733*COS(2*Q60+O60) -(1-0.002516*K60)*204586*COS(2*Q60-P60) -(1-0.002516*K60)*129620*COS(P60-O60)  + 108743*COS(Q60) +(1-0.002516*K60)*104755*COS(P60+O60) +10321*COS(2*Q60-2*R60) +79661*COS(O60-2*R60) -34782*COS(4*Q60-O60) -23210*COS(3*O60)  -21636*COS(4*Q60-2*O60) +(1-0.002516*K60)*24208*COS(2*Q60+P60-O60) +(1-0.002516*K60)*30824*COS(2*Q60+P60) -8379*COS(Q60-O60) -(1-0.002516*K60)*16675*COS(Q60+P60)  -(1-0.002516*K60)*12831*COS(2*Q60-P60+O60) -10445*COS(2*Q60+2*O60) -11650*COS(4*Q60) +14403*COS(2*Q60-3*O60) -(1-0.002516*K60)*7003*COS(P60-2*O60)  + (1-0.002516*K60)*10056*COS(2*Q60-P60-2*O60) +6322*COS(Q60+O60) -(1-0.002516*K60)*(1-0.002516*K60)*9884*COS(2*Q60-2*P60) +(1-0.002516*K60)*5751*COS(P60+2*O60) -(1-0.002516*K60)*(1-0.002516*K60)*4950*COS(2*Q60-2*P60-O60)  +4130*COS(2*Q60+O60-2*R60) -(1-0.002516*K60)*3958*COS(4*Q60-P60-O60) +3258*COS(3*Q60-O60) +(1-0.002516*K60)*2616*COS(2*Q60+P60+O60) -(1-0.002516*K60)*1897*COS(4*Q60-P60-2*O60)  -(1-0.002516*K60)*(1-0.002516*K60)*2117*COS(2*P60-O60) +(1-0.002516*K60)*(1-0.002516*K60)*2354*COS(2*Q60+2*P60-O60) -1423*COS(4*Q60+O60) -1117*COS(4*O60) -(1-0.002516*K60)*1571*COS(4*Q60-P60)  -1739*COS(Q60-2*O60) -4421*COS(2*O60-2*R60) +(1-0.002516*K60)*(1-0.002516*K60)*1165*COS(2*P60+O60) +8752*COS(2*Q60-O60-2*R60))/1000</f>
        <v>380267.265638372</v>
      </c>
      <c r="AT60" s="24" t="n">
        <f aca="false">60*ATAN(3476/AS60)/$E$6</f>
        <v>31.4233594320146</v>
      </c>
      <c r="AU60" s="28" t="n">
        <f aca="false">ATAN(0.99664719*TAN($E$6*input!$D$2))</f>
        <v>0.871010436227447</v>
      </c>
      <c r="AV60" s="28" t="n">
        <f aca="false">COS(AU60)</f>
        <v>0.644053912545846</v>
      </c>
      <c r="AW60" s="28" t="n">
        <f aca="false">0.99664719*SIN(AU60)</f>
        <v>0.762415269897027</v>
      </c>
      <c r="AX60" s="28" t="n">
        <f aca="false">6378.14/AS60</f>
        <v>0.0167727821359872</v>
      </c>
      <c r="AY60" s="31" t="n">
        <f aca="false">L60-15*AF60</f>
        <v>159.44385284321</v>
      </c>
      <c r="AZ60" s="29" t="n">
        <f aca="false">COS($E$6*AE60)*SIN($E$6*AY60)</f>
        <v>0.350571957732101</v>
      </c>
      <c r="BA60" s="29" t="n">
        <f aca="false">COS($E$6*AE60)*COS($E$6*AY60)-AV60*AX60</f>
        <v>-0.945656070900974</v>
      </c>
      <c r="BB60" s="29" t="n">
        <f aca="false">SIN($E$6*AE60)-AW60*AX60</f>
        <v>-0.0688970530394027</v>
      </c>
      <c r="BC60" s="45" t="n">
        <f aca="false">SQRT(AZ60^2+BA60^2+BB60^2)</f>
        <v>1.01089707977494</v>
      </c>
      <c r="BD60" s="20" t="n">
        <f aca="false">AS60*BC60</f>
        <v>384411.068367832</v>
      </c>
      <c r="BE60" s="30" t="str">
        <f aca="false">IF(OR(AND(BD60&gt;BD59,BD60&gt;BD61),AND(BD60&lt;BD59,BD60&lt;BD61)),BD60,"")</f>
        <v/>
      </c>
    </row>
    <row r="61" customFormat="false" ht="15" hidden="false" customHeight="false" outlineLevel="0" collapsed="false">
      <c r="A61" s="31" t="n">
        <v>29.5</v>
      </c>
      <c r="F61" s="38" t="n">
        <f aca="false">AK61</f>
        <v>-42.4707403039094</v>
      </c>
      <c r="G61" s="39" t="n">
        <f aca="false">F61+1.02/(TAN($E$6*(F61+10.3/(F61+5.11)))*60)</f>
        <v>-42.4891330988032</v>
      </c>
      <c r="H61" s="38" t="n">
        <f aca="false">100*(1+COS($E$6*AO61))/2</f>
        <v>67.5397072339817</v>
      </c>
      <c r="I61" s="38" t="n">
        <f aca="false">IF(AG61&gt;180, AR61-180,AR61+180)</f>
        <v>342.0872239275</v>
      </c>
      <c r="J61" s="31" t="n">
        <f aca="false">J60+0.5/24</f>
        <v>2459915.72916667</v>
      </c>
      <c r="K61" s="47" t="n">
        <f aca="false">(J61-2451545)/36525</f>
        <v>0.229178074378326</v>
      </c>
      <c r="L61" s="31" t="n">
        <f aca="false">MOD(280.46061837+360.98564736629*(J61-2451545)+0.000387933*K61^2-K61^3/38710000+$E$4,360)</f>
        <v>168.547796413302</v>
      </c>
      <c r="M61" s="28" t="n">
        <f aca="false">0.606433+1336.855225*K61 - INT(0.606433+1336.855225*K61)</f>
        <v>0.984339188104343</v>
      </c>
      <c r="N61" s="31" t="n">
        <f aca="false">22640*SIN(O61)-4586*SIN(O61-2*Q61)+2370*SIN(2*Q61)+769*SIN(2*O61)-668*SIN(P61)-412*SIN(2*R61)-212*SIN(2*O61-2*Q61)-206*SIN(O61+P61-2*Q61)+192*SIN(O61+2*Q61)-165*SIN(P61-2*Q61)-125*SIN(Q61)-110*SIN(O61+P61)+148*SIN(O61-P61)-55*SIN(2*R61-2*Q61)</f>
        <v>21920.2259963404</v>
      </c>
      <c r="O61" s="29" t="n">
        <f aca="false">2*PI()*(0.374897+1325.55241*K61 - INT(0.374897+1325.55241*K61))</f>
        <v>1.02067713508636</v>
      </c>
      <c r="P61" s="32" t="n">
        <f aca="false">2*PI()*(0.993133+99.997361*K61 - INT(0.993133+99.997361*K61))</f>
        <v>5.71980749833663</v>
      </c>
      <c r="Q61" s="32" t="n">
        <f aca="false">2*PI()*(0.827361+1236.853086*K61 - INT(0.827361+1236.853086*K61))</f>
        <v>1.80308278709834</v>
      </c>
      <c r="R61" s="32" t="n">
        <f aca="false">2*PI()*(0.259086+1342.227825*K61 - INT(0.259086+1342.227825*K61))</f>
        <v>5.45552839039401</v>
      </c>
      <c r="S61" s="32" t="n">
        <f aca="false">R61+(N61+412*SIN(2*R61)+541*SIN(P61))/206264.8062</f>
        <v>5.55840962666727</v>
      </c>
      <c r="T61" s="32" t="n">
        <f aca="false">R61-2*Q61</f>
        <v>1.84936281619732</v>
      </c>
      <c r="U61" s="24" t="n">
        <f aca="false">-526*SIN(T61)+44*SIN(O61+T61)-31*SIN(-O61+T61)-23*SIN(P61+T61)+11*SIN(-P61+T61)-25*SIN(-2*O61+R61)+21*SIN(-O61+R61)</f>
        <v>-544.982580436308</v>
      </c>
      <c r="V61" s="32" t="n">
        <f aca="false">2*PI()*(M61+N61/1296000-INT(M61+N61/1296000))</f>
        <v>0.00787247135909257</v>
      </c>
      <c r="W61" s="31" t="n">
        <f aca="false">V61/$E$6</f>
        <v>0.451059383213623</v>
      </c>
      <c r="X61" s="32" t="n">
        <f aca="false">(18520*SIN(S61)+U61)/206264.8062</f>
        <v>-0.06216834244362</v>
      </c>
      <c r="Y61" s="32" t="n">
        <f aca="false">COS(X61)*COS(V61)</f>
        <v>0.998037243033879</v>
      </c>
      <c r="Z61" s="32" t="n">
        <f aca="false">COS(X61)*SIN(V61)</f>
        <v>0.00785718193015508</v>
      </c>
      <c r="AA61" s="32" t="n">
        <f aca="false">SIN(X61)</f>
        <v>-0.0621283044147382</v>
      </c>
      <c r="AB61" s="32" t="n">
        <f aca="false">COS($E$6*(23.4393-46.815*K61/3600))*Z61-SIN($E$6*(23.4393-46.815*K61/3600))*AA61</f>
        <v>0.0319192496292204</v>
      </c>
      <c r="AC61" s="32" t="n">
        <f aca="false">SIN($E$6*(23.4393-46.815*K61/3600))*Z61+COS($E$6*(23.4393-46.815*K61/3600))*AA61</f>
        <v>-0.0538778527823951</v>
      </c>
      <c r="AD61" s="32" t="n">
        <f aca="false">SQRT(1-AC61*AC61)</f>
        <v>0.998547533660546</v>
      </c>
      <c r="AE61" s="31" t="n">
        <f aca="false">ATAN(AC61/AD61)/$E$6</f>
        <v>-3.08846901759612</v>
      </c>
      <c r="AF61" s="32" t="n">
        <f aca="false">IF(24*ATAN(AB61/(Y61+AD61))/PI()&gt;0,24*ATAN(AB61/(Y61+AD61))/PI(),24*ATAN(AB61/(Y61+AD61))/PI()+24)</f>
        <v>0.122120701865004</v>
      </c>
      <c r="AG61" s="31" t="n">
        <f aca="false">IF(L61-15*AF61&gt;0,L61-15*AF61,360+L61-15*AF61)</f>
        <v>166.715985885327</v>
      </c>
      <c r="AH61" s="29" t="n">
        <f aca="false">0.950724+0.051818*COS(O61)+0.009531*COS(2*Q61-O61)+0.007843*COS(2*Q61)+0.002824*COS(2*O61)+0.000857*COS(2*Q61+O61)+0.000533*COS(2*Q61-P61)*(1-0.002495*(J61-2415020)/36525)+0.000401*COS(2*Q61-P61-O61)*(1-0.002495*(J61-2415020)/36525)+0.00032*COS(O61-P61)*(1-0.002495*(J61-2415020)/36525)-0.000271*COS(Q61)</f>
        <v>0.96073760437848</v>
      </c>
      <c r="AI61" s="32" t="n">
        <f aca="false">ASIN(COS($E$6*$E$2)*COS($E$6*AE61)*COS($E$6*AG61)+SIN($E$6*$E$2)*SIN($E$6*AE61))/$E$6</f>
        <v>-41.7554584281269</v>
      </c>
      <c r="AJ61" s="29" t="n">
        <f aca="false">ASIN((0.9983271+0.0016764*COS($E$6*2*$E$2))*COS($E$6*AI61)*SIN($E$6*AH61))/$E$6</f>
        <v>0.715281875782535</v>
      </c>
      <c r="AK61" s="29" t="n">
        <f aca="false">AI61-AJ61</f>
        <v>-42.4707403039094</v>
      </c>
      <c r="AL61" s="31" t="n">
        <f aca="false"> MOD(280.4664567 + 360007.6982779*K61/10 + 0.03032028*K61^2/100 + K61^3/49931000,360)</f>
        <v>251.053577895505</v>
      </c>
      <c r="AM61" s="29" t="n">
        <f aca="false"> AL61 + (1.9146 - 0.004817*K61 - 0.000014*K61^2)*SIN(P61)+ (0.019993 - 0.000101*K61)*SIN(2*P61)+ 0.00029*SIN(3*P61)</f>
        <v>250.013364059342</v>
      </c>
      <c r="AN61" s="29" t="n">
        <f aca="false">ACOS(COS(V61-$E$6*AM61)*COS(X61))/$E$6</f>
        <v>110.396454312905</v>
      </c>
      <c r="AO61" s="24" t="n">
        <f aca="false">180 - AN61 -0.1468*(1-0.0549*SIN(P61))*SIN($E$6*AN61)/(1-0.0167*SIN($E$6*AM61))</f>
        <v>69.4641037621415</v>
      </c>
      <c r="AP61" s="48" t="n">
        <f aca="false">SIN($E$6*AG61)</f>
        <v>0.229778205169109</v>
      </c>
      <c r="AQ61" s="48" t="n">
        <f aca="false">COS($E$6*AG61)*SIN($E$6*$E$2) - TAN($E$6*AE61)*COS($E$6*$E$2)</f>
        <v>-0.7108650162418</v>
      </c>
      <c r="AR61" s="48" t="n">
        <f aca="false">IF(OR(AND(AP61*AQ61&gt;0), AND(AP61&lt;0,AQ61&gt;0)), MOD(ATAN2(AQ61,AP61)/$E$6+360,360),  ATAN2(AQ61,AP61)/$E$6)</f>
        <v>162.0872239275</v>
      </c>
      <c r="AS61" s="20" t="n">
        <f aca="false"> 385000.56 + (-20905355*COS(O61) - 3699111*COS(2*Q61-O61) - 2955968*COS(2*Q61) - 569925*COS(2*O61) + (1-0.002516*K61)*48888*COS(P61) - 3149*COS(2*R61)  +246158*COS(2*Q61-2*O61) -(1-0.002516*K61)*152138*COS(2*Q61-P61-O61) -170733*COS(2*Q61+O61) -(1-0.002516*K61)*204586*COS(2*Q61-P61) -(1-0.002516*K61)*129620*COS(P61-O61)  + 108743*COS(Q61) +(1-0.002516*K61)*104755*COS(P61+O61) +10321*COS(2*Q61-2*R61) +79661*COS(O61-2*R61) -34782*COS(4*Q61-O61) -23210*COS(3*O61)  -21636*COS(4*Q61-2*O61) +(1-0.002516*K61)*24208*COS(2*Q61+P61-O61) +(1-0.002516*K61)*30824*COS(2*Q61+P61) -8379*COS(Q61-O61) -(1-0.002516*K61)*16675*COS(Q61+P61)  -(1-0.002516*K61)*12831*COS(2*Q61-P61+O61) -10445*COS(2*Q61+2*O61) -11650*COS(4*Q61) +14403*COS(2*Q61-3*O61) -(1-0.002516*K61)*7003*COS(P61-2*O61)  + (1-0.002516*K61)*10056*COS(2*Q61-P61-2*O61) +6322*COS(Q61+O61) -(1-0.002516*K61)*(1-0.002516*K61)*9884*COS(2*Q61-2*P61) +(1-0.002516*K61)*5751*COS(P61+2*O61) -(1-0.002516*K61)*(1-0.002516*K61)*4950*COS(2*Q61-2*P61-O61)  +4130*COS(2*Q61+O61-2*R61) -(1-0.002516*K61)*3958*COS(4*Q61-P61-O61) +3258*COS(3*Q61-O61) +(1-0.002516*K61)*2616*COS(2*Q61+P61+O61) -(1-0.002516*K61)*1897*COS(4*Q61-P61-2*O61)  -(1-0.002516*K61)*(1-0.002516*K61)*2117*COS(2*P61-O61) +(1-0.002516*K61)*(1-0.002516*K61)*2354*COS(2*Q61+2*P61-O61) -1423*COS(4*Q61+O61) -1117*COS(4*O61) -(1-0.002516*K61)*1571*COS(4*Q61-P61)  -1739*COS(Q61-2*O61) -4421*COS(2*O61-2*R61) +(1-0.002516*K61)*(1-0.002516*K61)*1165*COS(2*P61+O61) +8752*COS(2*Q61-O61-2*R61))/1000</f>
        <v>380349.080069913</v>
      </c>
      <c r="AT61" s="24" t="n">
        <f aca="false">60*ATAN(3476/AS61)/$E$6</f>
        <v>31.4166005327023</v>
      </c>
      <c r="AU61" s="28" t="n">
        <f aca="false">ATAN(0.99664719*TAN($E$6*input!$D$2))</f>
        <v>0.871010436227447</v>
      </c>
      <c r="AV61" s="28" t="n">
        <f aca="false">COS(AU61)</f>
        <v>0.644053912545846</v>
      </c>
      <c r="AW61" s="28" t="n">
        <f aca="false">0.99664719*SIN(AU61)</f>
        <v>0.762415269897027</v>
      </c>
      <c r="AX61" s="28" t="n">
        <f aca="false">6378.14/AS61</f>
        <v>0.0167691742512631</v>
      </c>
      <c r="AY61" s="31" t="n">
        <f aca="false">L61-15*AF61</f>
        <v>166.715985885327</v>
      </c>
      <c r="AZ61" s="29" t="n">
        <f aca="false">COS($E$6*AE61)*SIN($E$6*AY61)</f>
        <v>0.229444460060561</v>
      </c>
      <c r="BA61" s="29" t="n">
        <f aca="false">COS($E$6*AE61)*COS($E$6*AY61)-AV61*AX61</f>
        <v>-0.982629669791158</v>
      </c>
      <c r="BB61" s="29" t="n">
        <f aca="false">SIN($E$6*AE61)-AW61*AX61</f>
        <v>-0.0666629272951221</v>
      </c>
      <c r="BC61" s="45" t="n">
        <f aca="false">SQRT(AZ61^2+BA61^2+BB61^2)</f>
        <v>1.0112614766132</v>
      </c>
      <c r="BD61" s="20" t="n">
        <f aca="false">AS61*BC61</f>
        <v>384632.372339974</v>
      </c>
      <c r="BE61" s="30" t="str">
        <f aca="false">IF(OR(AND(BD61&gt;BD60,BD61&gt;BD62),AND(BD61&lt;BD60,BD61&lt;BD62)),BD61,"")</f>
        <v/>
      </c>
    </row>
    <row r="62" customFormat="false" ht="15" hidden="false" customHeight="false" outlineLevel="0" collapsed="false">
      <c r="A62" s="31" t="n">
        <v>30</v>
      </c>
      <c r="F62" s="38" t="n">
        <f aca="false">AK62</f>
        <v>-43.3893245465258</v>
      </c>
      <c r="G62" s="39" t="n">
        <f aca="false">F62+1.02/(TAN($E$6*(F62+10.3/(F62+5.11)))*60)</f>
        <v>-43.4071399094328</v>
      </c>
      <c r="H62" s="38" t="n">
        <f aca="false">100*(1+COS($E$6*AO62))/2</f>
        <v>67.7499061634219</v>
      </c>
      <c r="I62" s="38" t="n">
        <f aca="false">IF(AG62&gt;180, AR62-180,AR62+180)</f>
        <v>351.819990976572</v>
      </c>
      <c r="J62" s="31" t="n">
        <f aca="false">J61+0.5/24</f>
        <v>2459915.75</v>
      </c>
      <c r="K62" s="47" t="n">
        <f aca="false">(J62-2451545)/36525</f>
        <v>0.229178644763911</v>
      </c>
      <c r="L62" s="31" t="n">
        <f aca="false">MOD(280.46061837+360.98564736629*(J62-2451545)+0.000387933*K62^2-K62^3/38710000+$E$4,360)</f>
        <v>176.068330789451</v>
      </c>
      <c r="M62" s="28" t="n">
        <f aca="false">0.606433+1336.855225*K62 - INT(0.606433+1336.855225*K62)</f>
        <v>0.985101711053801</v>
      </c>
      <c r="N62" s="31" t="n">
        <f aca="false">22640*SIN(O62)-4586*SIN(O62-2*Q62)+2370*SIN(2*Q62)+769*SIN(2*O62)-668*SIN(P62)-412*SIN(2*R62)-212*SIN(2*O62-2*Q62)-206*SIN(O62+P62-2*Q62)+192*SIN(O62+2*Q62)-165*SIN(P62-2*Q62)-125*SIN(Q62)-110*SIN(O62+P62)+148*SIN(O62-P62)-55*SIN(2*R62-2*Q62)</f>
        <v>21936.1087851064</v>
      </c>
      <c r="O62" s="29" t="n">
        <f aca="false">2*PI()*(0.374897+1325.55241*K62 - INT(0.374897+1325.55241*K62))</f>
        <v>1.0254277006172</v>
      </c>
      <c r="P62" s="32" t="n">
        <f aca="false">2*PI()*(0.993133+99.997361*K62 - INT(0.993133+99.997361*K62))</f>
        <v>5.72016587271153</v>
      </c>
      <c r="Q62" s="32" t="n">
        <f aca="false">2*PI()*(0.827361+1236.853086*K62 - INT(0.827361+1236.853086*K62))</f>
        <v>1.80751546859232</v>
      </c>
      <c r="R62" s="32" t="n">
        <f aca="false">2*PI()*(0.259086+1342.227825*K62 - INT(0.259086+1342.227825*K62))</f>
        <v>5.46033871791596</v>
      </c>
      <c r="S62" s="32" t="n">
        <f aca="false">R62+(N62+412*SIN(2*R62)+541*SIN(P62))/206264.8062</f>
        <v>5.56329622083203</v>
      </c>
      <c r="T62" s="32" t="n">
        <f aca="false">R62-2*Q62</f>
        <v>1.84530778073132</v>
      </c>
      <c r="U62" s="24" t="n">
        <f aca="false">-526*SIN(T62)+44*SIN(O62+T62)-31*SIN(-O62+T62)-23*SIN(P62+T62)+11*SIN(-P62+T62)-25*SIN(-2*O62+R62)+21*SIN(-O62+R62)</f>
        <v>-545.462223176767</v>
      </c>
      <c r="V62" s="32" t="n">
        <f aca="false">2*PI()*(M62+N62/1296000-INT(M62+N62/1296000))</f>
        <v>0.0127405462843927</v>
      </c>
      <c r="W62" s="31" t="n">
        <f aca="false">V62/$E$6</f>
        <v>0.729979530786782</v>
      </c>
      <c r="X62" s="32" t="n">
        <f aca="false">(18520*SIN(S62)+U62)/206264.8062</f>
        <v>-0.061841485264293</v>
      </c>
      <c r="Y62" s="32" t="n">
        <f aca="false">COS(X62)*COS(V62)</f>
        <v>0.998007420161661</v>
      </c>
      <c r="Z62" s="32" t="n">
        <f aca="false">COS(X62)*SIN(V62)</f>
        <v>0.0127158477547594</v>
      </c>
      <c r="AA62" s="32" t="n">
        <f aca="false">SIN(X62)</f>
        <v>-0.0618020753546682</v>
      </c>
      <c r="AB62" s="32" t="n">
        <f aca="false">COS($E$6*(23.4393-46.815*K62/3600))*Z62-SIN($E$6*(23.4393-46.815*K62/3600))*AA62</f>
        <v>0.0362473376397858</v>
      </c>
      <c r="AC62" s="32" t="n">
        <f aca="false">SIN($E$6*(23.4393-46.815*K62/3600))*Z62+COS($E$6*(23.4393-46.815*K62/3600))*AA62</f>
        <v>-0.0516461016563078</v>
      </c>
      <c r="AD62" s="32" t="n">
        <f aca="false">SQRT(1-AC62*AC62)</f>
        <v>0.998665449579441</v>
      </c>
      <c r="AE62" s="31" t="n">
        <f aca="false">ATAN(AC62/AD62)/$E$6</f>
        <v>-2.96042071398543</v>
      </c>
      <c r="AF62" s="32" t="n">
        <f aca="false">IF(24*ATAN(AB62/(Y62+AD62))/PI()&gt;0,24*ATAN(AB62/(Y62+AD62))/PI(),24*ATAN(AB62/(Y62+AD62))/PI()+24)</f>
        <v>0.138670110951691</v>
      </c>
      <c r="AG62" s="31" t="n">
        <f aca="false">IF(L62-15*AF62&gt;0,L62-15*AF62,360+L62-15*AF62)</f>
        <v>173.988279125175</v>
      </c>
      <c r="AH62" s="29" t="n">
        <f aca="false">0.950724+0.051818*COS(O62)+0.009531*COS(2*Q62-O62)+0.007843*COS(2*Q62)+0.002824*COS(2*O62)+0.000857*COS(2*Q62+O62)+0.000533*COS(2*Q62-P62)*(1-0.002495*(J62-2415020)/36525)+0.000401*COS(2*Q62-P62-O62)*(1-0.002495*(J62-2415020)/36525)+0.00032*COS(O62-P62)*(1-0.002495*(J62-2415020)/36525)-0.000271*COS(Q62)</f>
        <v>0.96052968441866</v>
      </c>
      <c r="AI62" s="32" t="n">
        <f aca="false">ASIN(COS($E$6*$E$2)*COS($E$6*AE62)*COS($E$6*AG62)+SIN($E$6*$E$2)*SIN($E$6*AE62))/$E$6</f>
        <v>-42.6846447042814</v>
      </c>
      <c r="AJ62" s="29" t="n">
        <f aca="false">ASIN((0.9983271+0.0016764*COS($E$6*2*$E$2))*COS($E$6*AI62)*SIN($E$6*AH62))/$E$6</f>
        <v>0.704679842244357</v>
      </c>
      <c r="AK62" s="29" t="n">
        <f aca="false">AI62-AJ62</f>
        <v>-43.3893245465258</v>
      </c>
      <c r="AL62" s="31" t="n">
        <f aca="false"> MOD(280.4664567 + 360007.6982779*K62/10 + 0.03032028*K62^2/100 + K62^3/49931000,360)</f>
        <v>251.07411221574</v>
      </c>
      <c r="AM62" s="29" t="n">
        <f aca="false"> AL62 + (1.9146 - 0.004817*K62 - 0.000014*K62^2)*SIN(P62)+ (0.019993 - 0.000101*K62)*SIN(2*P62)+ 0.00029*SIN(3*P62)</f>
        <v>250.034484332811</v>
      </c>
      <c r="AN62" s="29" t="n">
        <f aca="false">ACOS(COS(V62-$E$6*AM62)*COS(X62))/$E$6</f>
        <v>110.654124553811</v>
      </c>
      <c r="AO62" s="24" t="n">
        <f aca="false">180 - AN62 -0.1468*(1-0.0549*SIN(P62))*SIN($E$6*AN62)/(1-0.0167*SIN($E$6*AM62))</f>
        <v>69.2066706399164</v>
      </c>
      <c r="AP62" s="48" t="n">
        <f aca="false">SIN($E$6*AG62)</f>
        <v>0.104731908291863</v>
      </c>
      <c r="AQ62" s="48" t="n">
        <f aca="false">COS($E$6*AG62)*SIN($E$6*$E$2) - TAN($E$6*AE62)*COS($E$6*$E$2)</f>
        <v>-0.72858973797146</v>
      </c>
      <c r="AR62" s="48" t="n">
        <f aca="false">IF(OR(AND(AP62*AQ62&gt;0), AND(AP62&lt;0,AQ62&gt;0)), MOD(ATAN2(AQ62,AP62)/$E$6+360,360),  ATAN2(AQ62,AP62)/$E$6)</f>
        <v>171.819990976572</v>
      </c>
      <c r="AS62" s="20" t="n">
        <f aca="false"> 385000.56 + (-20905355*COS(O62) - 3699111*COS(2*Q62-O62) - 2955968*COS(2*Q62) - 569925*COS(2*O62) + (1-0.002516*K62)*48888*COS(P62) - 3149*COS(2*R62)  +246158*COS(2*Q62-2*O62) -(1-0.002516*K62)*152138*COS(2*Q62-P62-O62) -170733*COS(2*Q62+O62) -(1-0.002516*K62)*204586*COS(2*Q62-P62) -(1-0.002516*K62)*129620*COS(P62-O62)  + 108743*COS(Q62) +(1-0.002516*K62)*104755*COS(P62+O62) +10321*COS(2*Q62-2*R62) +79661*COS(O62-2*R62) -34782*COS(4*Q62-O62) -23210*COS(3*O62)  -21636*COS(4*Q62-2*O62) +(1-0.002516*K62)*24208*COS(2*Q62+P62-O62) +(1-0.002516*K62)*30824*COS(2*Q62+P62) -8379*COS(Q62-O62) -(1-0.002516*K62)*16675*COS(Q62+P62)  -(1-0.002516*K62)*12831*COS(2*Q62-P62+O62) -10445*COS(2*Q62+2*O62) -11650*COS(4*Q62) +14403*COS(2*Q62-3*O62) -(1-0.002516*K62)*7003*COS(P62-2*O62)  + (1-0.002516*K62)*10056*COS(2*Q62-P62-2*O62) +6322*COS(Q62+O62) -(1-0.002516*K62)*(1-0.002516*K62)*9884*COS(2*Q62-2*P62) +(1-0.002516*K62)*5751*COS(P62+2*O62) -(1-0.002516*K62)*(1-0.002516*K62)*4950*COS(2*Q62-2*P62-O62)  +4130*COS(2*Q62+O62-2*R62) -(1-0.002516*K62)*3958*COS(4*Q62-P62-O62) +3258*COS(3*Q62-O62) +(1-0.002516*K62)*2616*COS(2*Q62+P62+O62) -(1-0.002516*K62)*1897*COS(4*Q62-P62-2*O62)  -(1-0.002516*K62)*(1-0.002516*K62)*2117*COS(2*P62-O62) +(1-0.002516*K62)*(1-0.002516*K62)*2354*COS(2*Q62+2*P62-O62) -1423*COS(4*Q62+O62) -1117*COS(4*O62) -(1-0.002516*K62)*1571*COS(4*Q62-P62)  -1739*COS(Q62-2*O62) -4421*COS(2*O62-2*R62) +(1-0.002516*K62)*(1-0.002516*K62)*1165*COS(2*P62+O62) +8752*COS(2*Q62-O62-2*R62))/1000</f>
        <v>380430.855072389</v>
      </c>
      <c r="AT62" s="24" t="n">
        <f aca="false">60*ATAN(3476/AS62)/$E$6</f>
        <v>31.4098477954833</v>
      </c>
      <c r="AU62" s="28" t="n">
        <f aca="false">ATAN(0.99664719*TAN($E$6*input!$D$2))</f>
        <v>0.871010436227447</v>
      </c>
      <c r="AV62" s="28" t="n">
        <f aca="false">COS(AU62)</f>
        <v>0.644053912545846</v>
      </c>
      <c r="AW62" s="28" t="n">
        <f aca="false">0.99664719*SIN(AU62)</f>
        <v>0.762415269897027</v>
      </c>
      <c r="AX62" s="28" t="n">
        <f aca="false">6378.14/AS62</f>
        <v>0.0167655696559796</v>
      </c>
      <c r="AY62" s="31" t="n">
        <f aca="false">L62-15*AF62</f>
        <v>173.988279125175</v>
      </c>
      <c r="AZ62" s="29" t="n">
        <f aca="false">COS($E$6*AE62)*SIN($E$6*AY62)</f>
        <v>0.104592138279606</v>
      </c>
      <c r="BA62" s="29" t="n">
        <f aca="false">COS($E$6*AE62)*COS($E$6*AY62)-AV62*AX62</f>
        <v>-1.00397121107928</v>
      </c>
      <c r="BB62" s="29" t="n">
        <f aca="false">SIN($E$6*AE62)-AW62*AX62</f>
        <v>-0.0644284279705488</v>
      </c>
      <c r="BC62" s="45" t="n">
        <f aca="false">SQRT(AZ62^2+BA62^2+BB62^2)</f>
        <v>1.01145871413353</v>
      </c>
      <c r="BD62" s="20" t="n">
        <f aca="false">AS62*BC62</f>
        <v>384790.103488238</v>
      </c>
      <c r="BE62" s="30" t="str">
        <f aca="false">IF(OR(AND(BD62&gt;BD61,BD62&gt;BD63),AND(BD62&lt;BD61,BD62&lt;BD63)),BD62,"")</f>
        <v/>
      </c>
    </row>
    <row r="63" customFormat="false" ht="15" hidden="false" customHeight="false" outlineLevel="0" collapsed="false">
      <c r="A63" s="31" t="n">
        <v>30.5</v>
      </c>
      <c r="F63" s="38" t="n">
        <f aca="false">AK63</f>
        <v>-43.5232153682821</v>
      </c>
      <c r="G63" s="39" t="n">
        <f aca="false">F63+1.02/(TAN($E$6*(F63+10.3/(F63+5.11)))*60)</f>
        <v>-43.5409481611711</v>
      </c>
      <c r="H63" s="38" t="n">
        <f aca="false">100*(1+COS($E$6*AO63))/2</f>
        <v>67.9596515564927</v>
      </c>
      <c r="I63" s="38" t="n">
        <f aca="false">IF(AG63&gt;180, AR63-180,AR63+180)</f>
        <v>1.71682859105152</v>
      </c>
      <c r="J63" s="31" t="n">
        <f aca="false">J62+0.5/24</f>
        <v>2459915.77083334</v>
      </c>
      <c r="K63" s="47" t="n">
        <f aca="false">(J63-2451545)/36525</f>
        <v>0.229179215149496</v>
      </c>
      <c r="L63" s="31" t="n">
        <f aca="false">MOD(280.46061837+360.98564736629*(J63-2451545)+0.000387933*K63^2-K63^3/38710000+$E$4,360)</f>
        <v>183.588865165599</v>
      </c>
      <c r="M63" s="28" t="n">
        <f aca="false">0.606433+1336.855225*K63 - INT(0.606433+1336.855225*K63)</f>
        <v>0.985864234003202</v>
      </c>
      <c r="N63" s="31" t="n">
        <f aca="false">22640*SIN(O63)-4586*SIN(O63-2*Q63)+2370*SIN(2*Q63)+769*SIN(2*O63)-668*SIN(P63)-412*SIN(2*R63)-212*SIN(2*O63-2*Q63)-206*SIN(O63+P63-2*Q63)+192*SIN(O63+2*Q63)-165*SIN(P63-2*Q63)-125*SIN(Q63)-110*SIN(O63+P63)+148*SIN(O63-P63)-55*SIN(2*R63-2*Q63)</f>
        <v>21951.5458903705</v>
      </c>
      <c r="O63" s="29" t="n">
        <f aca="false">2*PI()*(0.374897+1325.55241*K63 - INT(0.374897+1325.55241*K63))</f>
        <v>1.03017826614768</v>
      </c>
      <c r="P63" s="32" t="n">
        <f aca="false">2*PI()*(0.993133+99.997361*K63 - INT(0.993133+99.997361*K63))</f>
        <v>5.72052424708642</v>
      </c>
      <c r="Q63" s="32" t="n">
        <f aca="false">2*PI()*(0.827361+1236.853086*K63 - INT(0.827361+1236.853086*K63))</f>
        <v>1.8119481500863</v>
      </c>
      <c r="R63" s="32" t="n">
        <f aca="false">2*PI()*(0.259086+1342.227825*K63 - INT(0.259086+1342.227825*K63))</f>
        <v>5.46514904543826</v>
      </c>
      <c r="S63" s="32" t="n">
        <f aca="false">R63+(N63+412*SIN(2*R63)+541*SIN(P63))/206264.8062</f>
        <v>5.56818083879899</v>
      </c>
      <c r="T63" s="32" t="n">
        <f aca="false">R63-2*Q63</f>
        <v>1.84125274526567</v>
      </c>
      <c r="U63" s="24" t="n">
        <f aca="false">-526*SIN(T63)+44*SIN(O63+T63)-31*SIN(-O63+T63)-23*SIN(P63+T63)+11*SIN(-P63+T63)-25*SIN(-2*O63+R63)+21*SIN(-O63+R63)</f>
        <v>-545.931776669262</v>
      </c>
      <c r="V63" s="32" t="n">
        <f aca="false">2*PI()*(M63+N63/1296000-INT(M63+N63/1296000))</f>
        <v>0.0176064604747439</v>
      </c>
      <c r="W63" s="31" t="n">
        <f aca="false">V63/$E$6</f>
        <v>1.00877587736672</v>
      </c>
      <c r="X63" s="32" t="n">
        <f aca="false">(18520*SIN(S63)+U63)/206264.8062</f>
        <v>-0.0615132996017321</v>
      </c>
      <c r="Y63" s="32" t="n">
        <f aca="false">COS(X63)*COS(V63)</f>
        <v>0.997953956903387</v>
      </c>
      <c r="Z63" s="32" t="n">
        <f aca="false">COS(X63)*SIN(V63)</f>
        <v>0.017572252661292</v>
      </c>
      <c r="AA63" s="32" t="n">
        <f aca="false">SIN(X63)</f>
        <v>-0.0614745137213781</v>
      </c>
      <c r="AB63" s="32" t="n">
        <f aca="false">COS($E$6*(23.4393-46.815*K63/3600))*Z63-SIN($E$6*(23.4393-46.815*K63/3600))*AA63</f>
        <v>0.0405728212487374</v>
      </c>
      <c r="AC63" s="32" t="n">
        <f aca="false">SIN($E$6*(23.4393-46.815*K63/3600))*Z63+COS($E$6*(23.4393-46.815*K63/3600))*AA63</f>
        <v>-0.0494140271258091</v>
      </c>
      <c r="AD63" s="32" t="n">
        <f aca="false">SQRT(1-AC63*AC63)</f>
        <v>0.998778380784852</v>
      </c>
      <c r="AE63" s="31" t="n">
        <f aca="false">ATAN(AC63/AD63)/$E$6</f>
        <v>-2.83236865567022</v>
      </c>
      <c r="AF63" s="32" t="n">
        <f aca="false">IF(24*ATAN(AB63/(Y63+AD63))/PI()&gt;0,24*ATAN(AB63/(Y63+AD63))/PI(),24*ATAN(AB63/(Y63+AD63))/PI()+24)</f>
        <v>0.15520902271317</v>
      </c>
      <c r="AG63" s="31" t="n">
        <f aca="false">IF(L63-15*AF63&gt;0,L63-15*AF63,360+L63-15*AF63)</f>
        <v>181.260729824901</v>
      </c>
      <c r="AH63" s="29" t="n">
        <f aca="false">0.950724+0.051818*COS(O63)+0.009531*COS(2*Q63-O63)+0.007843*COS(2*Q63)+0.002824*COS(2*O63)+0.000857*COS(2*Q63+O63)+0.000533*COS(2*Q63-P63)*(1-0.002495*(J63-2415020)/36525)+0.000401*COS(2*Q63-P63-O63)*(1-0.002495*(J63-2415020)/36525)+0.00032*COS(O63-P63)*(1-0.002495*(J63-2415020)/36525)-0.000271*COS(Q63)</f>
        <v>0.960321997096337</v>
      </c>
      <c r="AI63" s="32" t="n">
        <f aca="false">ASIN(COS($E$6*$E$2)*COS($E$6*AE63)*COS($E$6*AG63)+SIN($E$6*$E$2)*SIN($E$6*AE63))/$E$6</f>
        <v>-42.8202275284496</v>
      </c>
      <c r="AJ63" s="29" t="n">
        <f aca="false">ASIN((0.9983271+0.0016764*COS($E$6*2*$E$2))*COS($E$6*AI63)*SIN($E$6*AH63))/$E$6</f>
        <v>0.702987839832442</v>
      </c>
      <c r="AK63" s="29" t="n">
        <f aca="false">AI63-AJ63</f>
        <v>-43.5232153682821</v>
      </c>
      <c r="AL63" s="31" t="n">
        <f aca="false"> MOD(280.4664567 + 360007.6982779*K63/10 + 0.03032028*K63^2/100 + K63^3/49931000,360)</f>
        <v>251.094646535974</v>
      </c>
      <c r="AM63" s="29" t="n">
        <f aca="false"> AL63 + (1.9146 - 0.004817*K63 - 0.000014*K63^2)*SIN(P63)+ (0.019993 - 0.000101*K63)*SIN(2*P63)+ 0.00029*SIN(3*P63)</f>
        <v>250.055604747042</v>
      </c>
      <c r="AN63" s="29" t="n">
        <f aca="false">ACOS(COS(V63-$E$6*AM63)*COS(X63))/$E$6</f>
        <v>110.91168059152</v>
      </c>
      <c r="AO63" s="24" t="n">
        <f aca="false">180 - AN63 -0.1468*(1-0.0549*SIN(P63))*SIN($E$6*AN63)/(1-0.0167*SIN($E$6*AM63))</f>
        <v>68.9493544220319</v>
      </c>
      <c r="AP63" s="48" t="n">
        <f aca="false">SIN($E$6*AG63)</f>
        <v>-0.022002110858254</v>
      </c>
      <c r="AQ63" s="48" t="n">
        <f aca="false">COS($E$6*AG63)*SIN($E$6*$E$2) - TAN($E$6*AE63)*COS($E$6*$E$2)</f>
        <v>-0.734057428547628</v>
      </c>
      <c r="AR63" s="48" t="n">
        <f aca="false">IF(OR(AND(AP63*AQ63&gt;0), AND(AP63&lt;0,AQ63&gt;0)), MOD(ATAN2(AQ63,AP63)/$E$6+360,360),  ATAN2(AQ63,AP63)/$E$6)</f>
        <v>181.716828591052</v>
      </c>
      <c r="AS63" s="20" t="n">
        <f aca="false"> 385000.56 + (-20905355*COS(O63) - 3699111*COS(2*Q63-O63) - 2955968*COS(2*Q63) - 569925*COS(2*O63) + (1-0.002516*K63)*48888*COS(P63) - 3149*COS(2*R63)  +246158*COS(2*Q63-2*O63) -(1-0.002516*K63)*152138*COS(2*Q63-P63-O63) -170733*COS(2*Q63+O63) -(1-0.002516*K63)*204586*COS(2*Q63-P63) -(1-0.002516*K63)*129620*COS(P63-O63)  + 108743*COS(Q63) +(1-0.002516*K63)*104755*COS(P63+O63) +10321*COS(2*Q63-2*R63) +79661*COS(O63-2*R63) -34782*COS(4*Q63-O63) -23210*COS(3*O63)  -21636*COS(4*Q63-2*O63) +(1-0.002516*K63)*24208*COS(2*Q63+P63-O63) +(1-0.002516*K63)*30824*COS(2*Q63+P63) -8379*COS(Q63-O63) -(1-0.002516*K63)*16675*COS(Q63+P63)  -(1-0.002516*K63)*12831*COS(2*Q63-P63+O63) -10445*COS(2*Q63+2*O63) -11650*COS(4*Q63) +14403*COS(2*Q63-3*O63) -(1-0.002516*K63)*7003*COS(P63-2*O63)  + (1-0.002516*K63)*10056*COS(2*Q63-P63-2*O63) +6322*COS(Q63+O63) -(1-0.002516*K63)*(1-0.002516*K63)*9884*COS(2*Q63-2*P63) +(1-0.002516*K63)*5751*COS(P63+2*O63) -(1-0.002516*K63)*(1-0.002516*K63)*4950*COS(2*Q63-2*P63-O63)  +4130*COS(2*Q63+O63-2*R63) -(1-0.002516*K63)*3958*COS(4*Q63-P63-O63) +3258*COS(3*Q63-O63) +(1-0.002516*K63)*2616*COS(2*Q63+P63+O63) -(1-0.002516*K63)*1897*COS(4*Q63-P63-2*O63)  -(1-0.002516*K63)*(1-0.002516*K63)*2117*COS(2*P63-O63) +(1-0.002516*K63)*(1-0.002516*K63)*2354*COS(2*Q63+2*P63-O63) -1423*COS(4*Q63+O63) -1117*COS(4*O63) -(1-0.002516*K63)*1571*COS(4*Q63-P63)  -1739*COS(Q63-2*O63) -4421*COS(2*O63-2*R63) +(1-0.002516*K63)*(1-0.002516*K63)*1165*COS(2*P63+O63) +8752*COS(2*Q63-O63-2*R63))/1000</f>
        <v>380512.589643006</v>
      </c>
      <c r="AT63" s="24" t="n">
        <f aca="false">60*ATAN(3476/AS63)/$E$6</f>
        <v>31.4031012970404</v>
      </c>
      <c r="AU63" s="28" t="n">
        <f aca="false">ATAN(0.99664719*TAN($E$6*input!$D$2))</f>
        <v>0.871010436227447</v>
      </c>
      <c r="AV63" s="28" t="n">
        <f aca="false">COS(AU63)</f>
        <v>0.644053912545846</v>
      </c>
      <c r="AW63" s="28" t="n">
        <f aca="false">0.99664719*SIN(AU63)</f>
        <v>0.762415269897027</v>
      </c>
      <c r="AX63" s="28" t="n">
        <f aca="false">6378.14/AS63</f>
        <v>0.0167619683910693</v>
      </c>
      <c r="AY63" s="31" t="n">
        <f aca="false">L63-15*AF63</f>
        <v>181.260729824901</v>
      </c>
      <c r="AZ63" s="29" t="n">
        <f aca="false">COS($E$6*AE63)*SIN($E$6*AY63)</f>
        <v>-0.0219752326568558</v>
      </c>
      <c r="BA63" s="29" t="n">
        <f aca="false">COS($E$6*AE63)*COS($E$6*AY63)-AV63*AX63</f>
        <v>-1.00933221209203</v>
      </c>
      <c r="BB63" s="29" t="n">
        <f aca="false">SIN($E$6*AE63)-AW63*AX63</f>
        <v>-0.0621936077806916</v>
      </c>
      <c r="BC63" s="45" t="n">
        <f aca="false">SQRT(AZ63^2+BA63^2+BB63^2)</f>
        <v>1.01148527921353</v>
      </c>
      <c r="BD63" s="20" t="n">
        <f aca="false">AS63*BC63</f>
        <v>384882.882979321</v>
      </c>
      <c r="BE63" s="30" t="str">
        <f aca="false">IF(OR(AND(BD63&gt;BD62,BD63&gt;BD64),AND(BD63&lt;BD62,BD63&lt;BD64)),BD63,"")</f>
        <v/>
      </c>
    </row>
    <row r="64" customFormat="false" ht="15" hidden="false" customHeight="false" outlineLevel="0" collapsed="false">
      <c r="A64" s="31" t="n">
        <v>31</v>
      </c>
      <c r="F64" s="38" t="n">
        <f aca="false">AK64</f>
        <v>-42.8629460839148</v>
      </c>
      <c r="G64" s="39" t="n">
        <f aca="false">F64+1.02/(TAN($E$6*(F64+10.3/(F64+5.11)))*60)</f>
        <v>-42.8810899606958</v>
      </c>
      <c r="H64" s="38" t="n">
        <f aca="false">100*(1+COS($E$6*AO64))/2</f>
        <v>68.1689398434937</v>
      </c>
      <c r="I64" s="38" t="n">
        <f aca="false">IF(AG64&gt;180, AR64-180,AR64+180)</f>
        <v>11.5328154740282</v>
      </c>
      <c r="J64" s="31" t="n">
        <f aca="false">J63+0.5/24</f>
        <v>2459915.79166667</v>
      </c>
      <c r="K64" s="47" t="n">
        <f aca="false">(J64-2451545)/36525</f>
        <v>0.229179785535081</v>
      </c>
      <c r="L64" s="31" t="n">
        <f aca="false">MOD(280.46061837+360.98564736629*(J64-2451545)+0.000387933*K64^2-K64^3/38710000+$E$4,360)</f>
        <v>191.109399541747</v>
      </c>
      <c r="M64" s="28" t="n">
        <f aca="false">0.606433+1336.855225*K64 - INT(0.606433+1336.855225*K64)</f>
        <v>0.98662675695266</v>
      </c>
      <c r="N64" s="31" t="n">
        <f aca="false">22640*SIN(O64)-4586*SIN(O64-2*Q64)+2370*SIN(2*Q64)+769*SIN(2*O64)-668*SIN(P64)-412*SIN(2*R64)-212*SIN(2*O64-2*Q64)-206*SIN(O64+P64-2*Q64)+192*SIN(O64+2*Q64)-165*SIN(P64-2*Q64)-125*SIN(Q64)-110*SIN(O64+P64)+148*SIN(O64-P64)-55*SIN(2*R64-2*Q64)</f>
        <v>21966.5381830579</v>
      </c>
      <c r="O64" s="29" t="n">
        <f aca="false">2*PI()*(0.374897+1325.55241*K64 - INT(0.374897+1325.55241*K64))</f>
        <v>1.03492883167852</v>
      </c>
      <c r="P64" s="32" t="n">
        <f aca="false">2*PI()*(0.993133+99.997361*K64 - INT(0.993133+99.997361*K64))</f>
        <v>5.72088262146132</v>
      </c>
      <c r="Q64" s="32" t="n">
        <f aca="false">2*PI()*(0.827361+1236.853086*K64 - INT(0.827361+1236.853086*K64))</f>
        <v>1.81638083157992</v>
      </c>
      <c r="R64" s="32" t="n">
        <f aca="false">2*PI()*(0.259086+1342.227825*K64 - INT(0.259086+1342.227825*K64))</f>
        <v>5.46995937296021</v>
      </c>
      <c r="S64" s="32" t="n">
        <f aca="false">R64+(N64+412*SIN(2*R64)+541*SIN(P64))/206264.8062</f>
        <v>5.57306348491425</v>
      </c>
      <c r="T64" s="32" t="n">
        <f aca="false">R64-2*Q64</f>
        <v>1.83719770980038</v>
      </c>
      <c r="U64" s="24" t="n">
        <f aca="false">-526*SIN(T64)+44*SIN(O64+T64)-31*SIN(-O64+T64)-23*SIN(P64+T64)+11*SIN(-P64+T64)-25*SIN(-2*O64+R64)+21*SIN(-O64+R64)</f>
        <v>-546.391244514169</v>
      </c>
      <c r="V64" s="32" t="n">
        <f aca="false">2*PI()*(M64+N64/1296000-INT(M64+N64/1296000))</f>
        <v>0.0224702181532253</v>
      </c>
      <c r="W64" s="31" t="n">
        <f aca="false">V64/$E$6</f>
        <v>1.28744866491806</v>
      </c>
      <c r="X64" s="32" t="n">
        <f aca="false">(18520*SIN(S64)+U64)/206264.8062</f>
        <v>-0.0611837947716218</v>
      </c>
      <c r="Y64" s="32" t="n">
        <f aca="false">COS(X64)*COS(V64)</f>
        <v>0.997876883081092</v>
      </c>
      <c r="Z64" s="32" t="n">
        <f aca="false">COS(X64)*SIN(V64)</f>
        <v>0.0224262858038652</v>
      </c>
      <c r="AA64" s="32" t="n">
        <f aca="false">SIN(X64)</f>
        <v>-0.0611456287677816</v>
      </c>
      <c r="AB64" s="32" t="n">
        <f aca="false">COS($E$6*(23.4393-46.815*K64/3600))*Z64-SIN($E$6*(23.4393-46.815*K64/3600))*AA64</f>
        <v>0.0448956024348325</v>
      </c>
      <c r="AC64" s="32" t="n">
        <f aca="false">SIN($E$6*(23.4393-46.815*K64/3600))*Z64+COS($E$6*(23.4393-46.815*K64/3600))*AA64</f>
        <v>-0.047181681767159</v>
      </c>
      <c r="AD64" s="32" t="n">
        <f aca="false">SQRT(1-AC64*AC64)</f>
        <v>0.998886324316047</v>
      </c>
      <c r="AE64" s="31" t="n">
        <f aca="false">ATAN(AC64/AD64)/$E$6</f>
        <v>-2.70431522017683</v>
      </c>
      <c r="AF64" s="32" t="n">
        <f aca="false">IF(24*ATAN(AB64/(Y64+AD64))/PI()&gt;0,24*ATAN(AB64/(Y64+AD64))/PI(),24*ATAN(AB64/(Y64+AD64))/PI()+24)</f>
        <v>0.171737619463989</v>
      </c>
      <c r="AG64" s="31" t="n">
        <f aca="false">IF(L64-15*AF64&gt;0,L64-15*AF64,360+L64-15*AF64)</f>
        <v>188.533335249787</v>
      </c>
      <c r="AH64" s="29" t="n">
        <f aca="false">0.950724+0.051818*COS(O64)+0.009531*COS(2*Q64-O64)+0.007843*COS(2*Q64)+0.002824*COS(2*O64)+0.000857*COS(2*Q64+O64)+0.000533*COS(2*Q64-P64)*(1-0.002495*(J64-2415020)/36525)+0.000401*COS(2*Q64-P64-O64)*(1-0.002495*(J64-2415020)/36525)+0.00032*COS(O64-P64)*(1-0.002495*(J64-2415020)/36525)-0.000271*COS(Q64)</f>
        <v>0.960114544707543</v>
      </c>
      <c r="AI64" s="32" t="n">
        <f aca="false">ASIN(COS($E$6*$E$2)*COS($E$6*AE64)*COS($E$6*AG64)+SIN($E$6*$E$2)*SIN($E$6*AE64))/$E$6</f>
        <v>-42.1525681675827</v>
      </c>
      <c r="AJ64" s="29" t="n">
        <f aca="false">ASIN((0.9983271+0.0016764*COS($E$6*2*$E$2))*COS($E$6*AI64)*SIN($E$6*AH64))/$E$6</f>
        <v>0.710377916332116</v>
      </c>
      <c r="AK64" s="29" t="n">
        <f aca="false">AI64-AJ64</f>
        <v>-42.8629460839148</v>
      </c>
      <c r="AL64" s="31" t="n">
        <f aca="false"> MOD(280.4664567 + 360007.6982779*K64/10 + 0.03032028*K64^2/100 + K64^3/49931000,360)</f>
        <v>251.115180856208</v>
      </c>
      <c r="AM64" s="29" t="n">
        <f aca="false"> AL64 + (1.9146 - 0.004817*K64 - 0.000014*K64^2)*SIN(P64)+ (0.019993 - 0.000101*K64)*SIN(2*P64)+ 0.00029*SIN(3*P64)</f>
        <v>250.076725301956</v>
      </c>
      <c r="AN64" s="29" t="n">
        <f aca="false">ACOS(COS(V64-$E$6*AM64)*COS(X64))/$E$6</f>
        <v>111.169122626478</v>
      </c>
      <c r="AO64" s="24" t="n">
        <f aca="false">180 - AN64 -0.1468*(1-0.0549*SIN(P64))*SIN($E$6*AN64)/(1-0.0167*SIN($E$6*AM64))</f>
        <v>68.6921548995487</v>
      </c>
      <c r="AP64" s="48" t="n">
        <f aca="false">SIN($E$6*AG64)</f>
        <v>-0.148384805266899</v>
      </c>
      <c r="AQ64" s="48" t="n">
        <f aca="false">COS($E$6*AG64)*SIN($E$6*$E$2) - TAN($E$6*AE64)*COS($E$6*$E$2)</f>
        <v>-0.727202487120211</v>
      </c>
      <c r="AR64" s="48" t="n">
        <f aca="false">IF(OR(AND(AP64*AQ64&gt;0), AND(AP64&lt;0,AQ64&gt;0)), MOD(ATAN2(AQ64,AP64)/$E$6+360,360),  ATAN2(AQ64,AP64)/$E$6)</f>
        <v>191.532815474028</v>
      </c>
      <c r="AS64" s="20" t="n">
        <f aca="false"> 385000.56 + (-20905355*COS(O64) - 3699111*COS(2*Q64-O64) - 2955968*COS(2*Q64) - 569925*COS(2*O64) + (1-0.002516*K64)*48888*COS(P64) - 3149*COS(2*R64)  +246158*COS(2*Q64-2*O64) -(1-0.002516*K64)*152138*COS(2*Q64-P64-O64) -170733*COS(2*Q64+O64) -(1-0.002516*K64)*204586*COS(2*Q64-P64) -(1-0.002516*K64)*129620*COS(P64-O64)  + 108743*COS(Q64) +(1-0.002516*K64)*104755*COS(P64+O64) +10321*COS(2*Q64-2*R64) +79661*COS(O64-2*R64) -34782*COS(4*Q64-O64) -23210*COS(3*O64)  -21636*COS(4*Q64-2*O64) +(1-0.002516*K64)*24208*COS(2*Q64+P64-O64) +(1-0.002516*K64)*30824*COS(2*Q64+P64) -8379*COS(Q64-O64) -(1-0.002516*K64)*16675*COS(Q64+P64)  -(1-0.002516*K64)*12831*COS(2*Q64-P64+O64) -10445*COS(2*Q64+2*O64) -11650*COS(4*Q64) +14403*COS(2*Q64-3*O64) -(1-0.002516*K64)*7003*COS(P64-2*O64)  + (1-0.002516*K64)*10056*COS(2*Q64-P64-2*O64) +6322*COS(Q64+O64) -(1-0.002516*K64)*(1-0.002516*K64)*9884*COS(2*Q64-2*P64) +(1-0.002516*K64)*5751*COS(P64+2*O64) -(1-0.002516*K64)*(1-0.002516*K64)*4950*COS(2*Q64-2*P64-O64)  +4130*COS(2*Q64+O64-2*R64) -(1-0.002516*K64)*3958*COS(4*Q64-P64-O64) +3258*COS(3*Q64-O64) +(1-0.002516*K64)*2616*COS(2*Q64+P64+O64) -(1-0.002516*K64)*1897*COS(4*Q64-P64-2*O64)  -(1-0.002516*K64)*(1-0.002516*K64)*2117*COS(2*P64-O64) +(1-0.002516*K64)*(1-0.002516*K64)*2354*COS(2*Q64+2*P64-O64) -1423*COS(4*Q64+O64) -1117*COS(4*O64) -(1-0.002516*K64)*1571*COS(4*Q64-P64)  -1739*COS(Q64-2*O64) -4421*COS(2*O64-2*R64) +(1-0.002516*K64)*(1-0.002516*K64)*1165*COS(2*P64+O64) +8752*COS(2*Q64-O64-2*R64))/1000</f>
        <v>380594.282791719</v>
      </c>
      <c r="AT64" s="24" t="n">
        <f aca="false">60*ATAN(3476/AS64)/$E$6</f>
        <v>31.3963611128722</v>
      </c>
      <c r="AU64" s="28" t="n">
        <f aca="false">ATAN(0.99664719*TAN($E$6*input!$D$2))</f>
        <v>0.871010436227447</v>
      </c>
      <c r="AV64" s="28" t="n">
        <f aca="false">COS(AU64)</f>
        <v>0.644053912545846</v>
      </c>
      <c r="AW64" s="28" t="n">
        <f aca="false">0.99664719*SIN(AU64)</f>
        <v>0.762415269897027</v>
      </c>
      <c r="AX64" s="28" t="n">
        <f aca="false">6378.14/AS64</f>
        <v>0.0167583704968329</v>
      </c>
      <c r="AY64" s="31" t="n">
        <f aca="false">L64-15*AF64</f>
        <v>188.533335249787</v>
      </c>
      <c r="AZ64" s="29" t="n">
        <f aca="false">COS($E$6*AE64)*SIN($E$6*AY64)</f>
        <v>-0.148219552717405</v>
      </c>
      <c r="BA64" s="29" t="n">
        <f aca="false">COS($E$6*AE64)*COS($E$6*AY64)-AV64*AX64</f>
        <v>-0.998621646128308</v>
      </c>
      <c r="BB64" s="29" t="n">
        <f aca="false">SIN($E$6*AE64)-AW64*AX64</f>
        <v>-0.0599585193325362</v>
      </c>
      <c r="BC64" s="45" t="n">
        <f aca="false">SQRT(AZ64^2+BA64^2+BB64^2)</f>
        <v>1.01134032450225</v>
      </c>
      <c r="BD64" s="20" t="n">
        <f aca="false">AS64*BC64</f>
        <v>384910.345462277</v>
      </c>
      <c r="BE64" s="49" t="n">
        <f aca="false">IF(OR(AND(BD64&gt;BD63,BD64&gt;BD65),AND(BD64&lt;BD63,BD64&lt;BD65)),BD64,"")</f>
        <v>384910.345462277</v>
      </c>
    </row>
    <row r="65" customFormat="false" ht="15" hidden="false" customHeight="false" outlineLevel="0" collapsed="false">
      <c r="A65" s="31" t="n">
        <v>31.5</v>
      </c>
      <c r="F65" s="38" t="n">
        <f aca="false">AK65</f>
        <v>-41.4407003831688</v>
      </c>
      <c r="G65" s="39" t="n">
        <f aca="false">F65+1.02/(TAN($E$6*(F65+10.3/(F65+5.11)))*60)</f>
        <v>-41.4597645422966</v>
      </c>
      <c r="H65" s="38" t="n">
        <f aca="false">100*(1+COS($E$6*AO65))/2</f>
        <v>68.377767472335</v>
      </c>
      <c r="I65" s="38" t="n">
        <f aca="false">IF(AG65&gt;180, AR65-180,AR65+180)</f>
        <v>21.0385160382342</v>
      </c>
      <c r="J65" s="31" t="n">
        <f aca="false">J64+0.5/24</f>
        <v>2459915.8125</v>
      </c>
      <c r="K65" s="47" t="n">
        <f aca="false">(J65-2451545)/36525</f>
        <v>0.229180355920666</v>
      </c>
      <c r="L65" s="31" t="n">
        <f aca="false">MOD(280.46061837+360.98564736629*(J65-2451545)+0.000387933*K65^2-K65^3/38710000+$E$4,360)</f>
        <v>198.629933917895</v>
      </c>
      <c r="M65" s="28" t="n">
        <f aca="false">0.606433+1336.855225*K65 - INT(0.606433+1336.855225*K65)</f>
        <v>0.987389279902118</v>
      </c>
      <c r="N65" s="31" t="n">
        <f aca="false">22640*SIN(O65)-4586*SIN(O65-2*Q65)+2370*SIN(2*Q65)+769*SIN(2*O65)-668*SIN(P65)-412*SIN(2*R65)-212*SIN(2*O65-2*Q65)-206*SIN(O65+P65-2*Q65)+192*SIN(O65+2*Q65)-165*SIN(P65-2*Q65)-125*SIN(Q65)-110*SIN(O65+P65)+148*SIN(O65-P65)-55*SIN(2*R65-2*Q65)</f>
        <v>21981.0865395365</v>
      </c>
      <c r="O65" s="29" t="n">
        <f aca="false">2*PI()*(0.374897+1325.55241*K65 - INT(0.374897+1325.55241*K65))</f>
        <v>1.03967939720935</v>
      </c>
      <c r="P65" s="32" t="n">
        <f aca="false">2*PI()*(0.993133+99.997361*K65 - INT(0.993133+99.997361*K65))</f>
        <v>5.72124099583622</v>
      </c>
      <c r="Q65" s="32" t="n">
        <f aca="false">2*PI()*(0.827361+1236.853086*K65 - INT(0.827361+1236.853086*K65))</f>
        <v>1.82081351307389</v>
      </c>
      <c r="R65" s="32" t="n">
        <f aca="false">2*PI()*(0.259086+1342.227825*K65 - INT(0.259086+1342.227825*K65))</f>
        <v>5.47476970048252</v>
      </c>
      <c r="S65" s="32" t="n">
        <f aca="false">R65+(N65+412*SIN(2*R65)+541*SIN(P65))/206264.8062</f>
        <v>5.57794416353465</v>
      </c>
      <c r="T65" s="32" t="n">
        <f aca="false">R65-2*Q65</f>
        <v>1.83314267433473</v>
      </c>
      <c r="U65" s="24" t="n">
        <f aca="false">-526*SIN(T65)+44*SIN(O65+T65)-31*SIN(-O65+T65)-23*SIN(P65+T65)+11*SIN(-P65+T65)-25*SIN(-2*O65+R65)+21*SIN(-O65+R65)</f>
        <v>-546.840630582139</v>
      </c>
      <c r="V65" s="32" t="n">
        <f aca="false">2*PI()*(M65+N65/1296000-INT(M65+N65/1296000))</f>
        <v>0.027331823568231</v>
      </c>
      <c r="W65" s="31" t="n">
        <f aca="false">V65/$E$6</f>
        <v>1.56599813685583</v>
      </c>
      <c r="X65" s="32" t="n">
        <f aca="false">(18520*SIN(S65)+U65)/206264.8062</f>
        <v>-0.0608529800988926</v>
      </c>
      <c r="Y65" s="32" t="n">
        <f aca="false">COS(X65)*COS(V65)</f>
        <v>0.997776228987332</v>
      </c>
      <c r="Z65" s="32" t="n">
        <f aca="false">COS(X65)*SIN(V65)</f>
        <v>0.0272778366307411</v>
      </c>
      <c r="AA65" s="32" t="n">
        <f aca="false">SIN(X65)</f>
        <v>-0.0608154297573086</v>
      </c>
      <c r="AB65" s="32" t="n">
        <f aca="false">COS($E$6*(23.4393-46.815*K65/3600))*Z65-SIN($E$6*(23.4393-46.815*K65/3600))*AA65</f>
        <v>0.0492155834508945</v>
      </c>
      <c r="AC65" s="32" t="n">
        <f aca="false">SIN($E$6*(23.4393-46.815*K65/3600))*Z65+COS($E$6*(23.4393-46.815*K65/3600))*AA65</f>
        <v>-0.0449491180492741</v>
      </c>
      <c r="AD65" s="32" t="n">
        <f aca="false">SQRT(1-AC65*AC65)</f>
        <v>0.998989277613425</v>
      </c>
      <c r="AE65" s="31" t="n">
        <f aca="false">ATAN(AC65/AD65)/$E$6</f>
        <v>-2.57626277771176</v>
      </c>
      <c r="AF65" s="32" t="n">
        <f aca="false">IF(24*ATAN(AB65/(Y65+AD65))/PI()&gt;0,24*ATAN(AB65/(Y65+AD65))/PI(),24*ATAN(AB65/(Y65+AD65))/PI()+24)</f>
        <v>0.188256083263422</v>
      </c>
      <c r="AG65" s="31" t="n">
        <f aca="false">IF(L65-15*AF65&gt;0,L65-15*AF65,360+L65-15*AF65)</f>
        <v>195.806092668944</v>
      </c>
      <c r="AH65" s="29" t="n">
        <f aca="false">0.950724+0.051818*COS(O65)+0.009531*COS(2*Q65-O65)+0.007843*COS(2*Q65)+0.002824*COS(2*O65)+0.000857*COS(2*Q65+O65)+0.000533*COS(2*Q65-P65)*(1-0.002495*(J65-2415020)/36525)+0.000401*COS(2*Q65-P65-O65)*(1-0.002495*(J65-2415020)/36525)+0.00032*COS(O65-P65)*(1-0.002495*(J65-2415020)/36525)-0.000271*COS(Q65)</f>
        <v>0.959907329502695</v>
      </c>
      <c r="AI65" s="32" t="n">
        <f aca="false">ASIN(COS($E$6*$E$2)*COS($E$6*AE65)*COS($E$6*AG65)+SIN($E$6*$E$2)*SIN($E$6*AE65))/$E$6</f>
        <v>-40.7145643150849</v>
      </c>
      <c r="AJ65" s="29" t="n">
        <f aca="false">ASIN((0.9983271+0.0016764*COS($E$6*2*$E$2))*COS($E$6*AI65)*SIN($E$6*AH65))/$E$6</f>
        <v>0.726136068083928</v>
      </c>
      <c r="AK65" s="29" t="n">
        <f aca="false">AI65-AJ65</f>
        <v>-41.4407003831688</v>
      </c>
      <c r="AL65" s="31" t="n">
        <f aca="false"> MOD(280.4664567 + 360007.6982779*K65/10 + 0.03032028*K65^2/100 + K65^3/49931000,360)</f>
        <v>251.135715176444</v>
      </c>
      <c r="AM65" s="29" t="n">
        <f aca="false"> AL65 + (1.9146 - 0.004817*K65 - 0.000014*K65^2)*SIN(P65)+ (0.019993 - 0.000101*K65)*SIN(2*P65)+ 0.00029*SIN(3*P65)</f>
        <v>250.097845997479</v>
      </c>
      <c r="AN65" s="29" t="n">
        <f aca="false">ACOS(COS(V65-$E$6*AM65)*COS(X65))/$E$6</f>
        <v>111.426450859361</v>
      </c>
      <c r="AO65" s="24" t="n">
        <f aca="false">180 - AN65 -0.1468*(1-0.0549*SIN(P65))*SIN($E$6*AN65)/(1-0.0167*SIN($E$6*AM65))</f>
        <v>68.4350718632621</v>
      </c>
      <c r="AP65" s="48" t="n">
        <f aca="false">SIN($E$6*AG65)</f>
        <v>-0.272382565004007</v>
      </c>
      <c r="AQ65" s="48" t="n">
        <f aca="false">COS($E$6*AG65)*SIN($E$6*$E$2) - TAN($E$6*AE65)*COS($E$6*$E$2)</f>
        <v>-0.708157594947167</v>
      </c>
      <c r="AR65" s="48" t="n">
        <f aca="false">IF(OR(AND(AP65*AQ65&gt;0), AND(AP65&lt;0,AQ65&gt;0)), MOD(ATAN2(AQ65,AP65)/$E$6+360,360),  ATAN2(AQ65,AP65)/$E$6)</f>
        <v>201.038516038234</v>
      </c>
      <c r="AS65" s="20" t="n">
        <f aca="false"> 385000.56 + (-20905355*COS(O65) - 3699111*COS(2*Q65-O65) - 2955968*COS(2*Q65) - 569925*COS(2*O65) + (1-0.002516*K65)*48888*COS(P65) - 3149*COS(2*R65)  +246158*COS(2*Q65-2*O65) -(1-0.002516*K65)*152138*COS(2*Q65-P65-O65) -170733*COS(2*Q65+O65) -(1-0.002516*K65)*204586*COS(2*Q65-P65) -(1-0.002516*K65)*129620*COS(P65-O65)  + 108743*COS(Q65) +(1-0.002516*K65)*104755*COS(P65+O65) +10321*COS(2*Q65-2*R65) +79661*COS(O65-2*R65) -34782*COS(4*Q65-O65) -23210*COS(3*O65)  -21636*COS(4*Q65-2*O65) +(1-0.002516*K65)*24208*COS(2*Q65+P65-O65) +(1-0.002516*K65)*30824*COS(2*Q65+P65) -8379*COS(Q65-O65) -(1-0.002516*K65)*16675*COS(Q65+P65)  -(1-0.002516*K65)*12831*COS(2*Q65-P65+O65) -10445*COS(2*Q65+2*O65) -11650*COS(4*Q65) +14403*COS(2*Q65-3*O65) -(1-0.002516*K65)*7003*COS(P65-2*O65)  + (1-0.002516*K65)*10056*COS(2*Q65-P65-2*O65) +6322*COS(Q65+O65) -(1-0.002516*K65)*(1-0.002516*K65)*9884*COS(2*Q65-2*P65) +(1-0.002516*K65)*5751*COS(P65+2*O65) -(1-0.002516*K65)*(1-0.002516*K65)*4950*COS(2*Q65-2*P65-O65)  +4130*COS(2*Q65+O65-2*R65) -(1-0.002516*K65)*3958*COS(4*Q65-P65-O65) +3258*COS(3*Q65-O65) +(1-0.002516*K65)*2616*COS(2*Q65+P65+O65) -(1-0.002516*K65)*1897*COS(4*Q65-P65-2*O65)  -(1-0.002516*K65)*(1-0.002516*K65)*2117*COS(2*P65-O65) +(1-0.002516*K65)*(1-0.002516*K65)*2354*COS(2*Q65+2*P65-O65) -1423*COS(4*Q65+O65) -1117*COS(4*O65) -(1-0.002516*K65)*1571*COS(4*Q65-P65)  -1739*COS(Q65-2*O65) -4421*COS(2*O65-2*R65) +(1-0.002516*K65)*(1-0.002516*K65)*1165*COS(2*P65+O65) +8752*COS(2*Q65-O65-2*R65))/1000</f>
        <v>380675.933541117</v>
      </c>
      <c r="AT65" s="24" t="n">
        <f aca="false">60*ATAN(3476/AS65)/$E$6</f>
        <v>31.3896273173042</v>
      </c>
      <c r="AU65" s="28" t="n">
        <f aca="false">ATAN(0.99664719*TAN($E$6*input!$D$2))</f>
        <v>0.871010436227447</v>
      </c>
      <c r="AV65" s="28" t="n">
        <f aca="false">COS(AU65)</f>
        <v>0.644053912545846</v>
      </c>
      <c r="AW65" s="28" t="n">
        <f aca="false">0.99664719*SIN(AU65)</f>
        <v>0.762415269897027</v>
      </c>
      <c r="AX65" s="28" t="n">
        <f aca="false">6378.14/AS65</f>
        <v>0.0167547760129446</v>
      </c>
      <c r="AY65" s="31" t="n">
        <f aca="false">L65-15*AF65</f>
        <v>195.806092668944</v>
      </c>
      <c r="AZ65" s="29" t="n">
        <f aca="false">COS($E$6*AE65)*SIN($E$6*AY65)</f>
        <v>-0.272107261847845</v>
      </c>
      <c r="BA65" s="29" t="n">
        <f aca="false">COS($E$6*AE65)*COS($E$6*AY65)-AV65*AX65</f>
        <v>-0.972007507635825</v>
      </c>
      <c r="BB65" s="29" t="n">
        <f aca="false">SIN($E$6*AE65)-AW65*AX65</f>
        <v>-0.0577232151252475</v>
      </c>
      <c r="BC65" s="45" t="n">
        <f aca="false">SQRT(AZ65^2+BA65^2+BB65^2)</f>
        <v>1.0110256803935</v>
      </c>
      <c r="BD65" s="20" t="n">
        <f aca="false">AS65*BC65</f>
        <v>384873.144717838</v>
      </c>
      <c r="BE65" s="30" t="str">
        <f aca="false">IF(OR(AND(BD65&gt;BD64,BD65&gt;BD66),AND(BD65&lt;BD64,BD65&lt;BD66)),BD65,"")</f>
        <v/>
      </c>
    </row>
    <row r="66" customFormat="false" ht="15" hidden="false" customHeight="false" outlineLevel="0" collapsed="false">
      <c r="A66" s="31" t="n">
        <v>32</v>
      </c>
      <c r="F66" s="38" t="n">
        <f aca="false">AK66</f>
        <v>-39.3228290078678</v>
      </c>
      <c r="G66" s="39" t="n">
        <f aca="false">F66+1.02/(TAN($E$6*(F66+10.3/(F66+5.11)))*60)</f>
        <v>-39.3433610441844</v>
      </c>
      <c r="H66" s="38" t="n">
        <f aca="false">100*(1+COS($E$6*AO66))/2</f>
        <v>68.5861309085978</v>
      </c>
      <c r="I66" s="38" t="n">
        <f aca="false">IF(AG66&gt;180, AR66-180,AR66+180)</f>
        <v>30.0626841104788</v>
      </c>
      <c r="J66" s="31" t="n">
        <f aca="false">J65+0.5/24</f>
        <v>2459915.83333334</v>
      </c>
      <c r="K66" s="47" t="n">
        <f aca="false">(J66-2451545)/36525</f>
        <v>0.229180926306251</v>
      </c>
      <c r="L66" s="31" t="n">
        <f aca="false">MOD(280.46061837+360.98564736629*(J66-2451545)+0.000387933*K66^2-K66^3/38710000+$E$4,360)</f>
        <v>206.150468294509</v>
      </c>
      <c r="M66" s="28" t="n">
        <f aca="false">0.606433+1336.855225*K66 - INT(0.606433+1336.855225*K66)</f>
        <v>0.988151802851576</v>
      </c>
      <c r="N66" s="31" t="n">
        <f aca="false">22640*SIN(O66)-4586*SIN(O66-2*Q66)+2370*SIN(2*Q66)+769*SIN(2*O66)-668*SIN(P66)-412*SIN(2*R66)-212*SIN(2*O66-2*Q66)-206*SIN(O66+P66-2*Q66)+192*SIN(O66+2*Q66)-165*SIN(P66-2*Q66)-125*SIN(Q66)-110*SIN(O66+P66)+148*SIN(O66-P66)-55*SIN(2*R66-2*Q66)</f>
        <v>21995.191841543</v>
      </c>
      <c r="O66" s="29" t="n">
        <f aca="false">2*PI()*(0.374897+1325.55241*K66 - INT(0.374897+1325.55241*K66))</f>
        <v>1.04442996274019</v>
      </c>
      <c r="P66" s="32" t="n">
        <f aca="false">2*PI()*(0.993133+99.997361*K66 - INT(0.993133+99.997361*K66))</f>
        <v>5.72159937021111</v>
      </c>
      <c r="Q66" s="32" t="n">
        <f aca="false">2*PI()*(0.827361+1236.853086*K66 - INT(0.827361+1236.853086*K66))</f>
        <v>1.82524619456751</v>
      </c>
      <c r="R66" s="32" t="n">
        <f aca="false">2*PI()*(0.259086+1342.227825*K66 - INT(0.259086+1342.227825*K66))</f>
        <v>5.47958002800447</v>
      </c>
      <c r="S66" s="32" t="n">
        <f aca="false">R66+(N66+412*SIN(2*R66)+541*SIN(P66))/206264.8062</f>
        <v>5.58282287902457</v>
      </c>
      <c r="T66" s="32" t="n">
        <f aca="false">R66-2*Q66</f>
        <v>1.82908763886944</v>
      </c>
      <c r="U66" s="24" t="n">
        <f aca="false">-526*SIN(T66)+44*SIN(O66+T66)-31*SIN(-O66+T66)-23*SIN(P66+T66)+11*SIN(-P66+T66)-25*SIN(-2*O66+R66)+21*SIN(-O66+R66)</f>
        <v>-547.279939013179</v>
      </c>
      <c r="V66" s="32" t="n">
        <f aca="false">2*PI()*(M66+N66/1296000-INT(M66+N66/1296000))</f>
        <v>0.0321912809945428</v>
      </c>
      <c r="W66" s="31" t="n">
        <f aca="false">V66/$E$6</f>
        <v>1.844424538107</v>
      </c>
      <c r="X66" s="32" t="n">
        <f aca="false">(18520*SIN(S66)+U66)/206264.8062</f>
        <v>-0.0605208649176933</v>
      </c>
      <c r="Y66" s="32" t="n">
        <f aca="false">COS(X66)*COS(V66)</f>
        <v>0.997652025382741</v>
      </c>
      <c r="Z66" s="32" t="n">
        <f aca="false">COS(X66)*SIN(V66)</f>
        <v>0.0321267948869921</v>
      </c>
      <c r="AA66" s="32" t="n">
        <f aca="false">SIN(X66)</f>
        <v>-0.0604839259638847</v>
      </c>
      <c r="AB66" s="32" t="n">
        <f aca="false">COS($E$6*(23.4393-46.815*K66/3600))*Z66-SIN($E$6*(23.4393-46.815*K66/3600))*AA66</f>
        <v>0.0535326668262453</v>
      </c>
      <c r="AC66" s="32" t="n">
        <f aca="false">SIN($E$6*(23.4393-46.815*K66/3600))*Z66+COS($E$6*(23.4393-46.815*K66/3600))*AA66</f>
        <v>-0.0427163883326501</v>
      </c>
      <c r="AD66" s="32" t="n">
        <f aca="false">SQRT(1-AC66*AC66)</f>
        <v>0.999087238517145</v>
      </c>
      <c r="AE66" s="31" t="n">
        <f aca="false">ATAN(AC66/AD66)/$E$6</f>
        <v>-2.44821369122538</v>
      </c>
      <c r="AF66" s="32" t="n">
        <f aca="false">IF(24*ATAN(AB66/(Y66+AD66))/PI()&gt;0,24*ATAN(AB66/(Y66+AD66))/PI(),24*ATAN(AB66/(Y66+AD66))/PI()+24)</f>
        <v>0.204764595914998</v>
      </c>
      <c r="AG66" s="31" t="n">
        <f aca="false">IF(L66-15*AF66&gt;0,L66-15*AF66,360+L66-15*AF66)</f>
        <v>203.078999355784</v>
      </c>
      <c r="AH66" s="29" t="n">
        <f aca="false">0.950724+0.051818*COS(O66)+0.009531*COS(2*Q66-O66)+0.007843*COS(2*Q66)+0.002824*COS(2*O66)+0.000857*COS(2*Q66+O66)+0.000533*COS(2*Q66-P66)*(1-0.002495*(J66-2415020)/36525)+0.000401*COS(2*Q66-P66-O66)*(1-0.002495*(J66-2415020)/36525)+0.00032*COS(O66-P66)*(1-0.002495*(J66-2415020)/36525)-0.000271*COS(Q66)</f>
        <v>0.959700353686847</v>
      </c>
      <c r="AI66" s="32" t="n">
        <f aca="false">ASIN(COS($E$6*$E$2)*COS($E$6*AE66)*COS($E$6*AG66)+SIN($E$6*$E$2)*SIN($E$6*AE66))/$E$6</f>
        <v>-38.5740193995247</v>
      </c>
      <c r="AJ66" s="29" t="n">
        <f aca="false">ASIN((0.9983271+0.0016764*COS($E$6*2*$E$2))*COS($E$6*AI66)*SIN($E$6*AH66))/$E$6</f>
        <v>0.748809608343053</v>
      </c>
      <c r="AK66" s="29" t="n">
        <f aca="false">AI66-AJ66</f>
        <v>-39.3228290078678</v>
      </c>
      <c r="AL66" s="31" t="n">
        <f aca="false"> MOD(280.4664567 + 360007.6982779*K66/10 + 0.03032028*K66^2/100 + K66^3/49931000,360)</f>
        <v>251.156249496678</v>
      </c>
      <c r="AM66" s="29" t="n">
        <f aca="false"> AL66 + (1.9146 - 0.004817*K66 - 0.000014*K66^2)*SIN(P66)+ (0.019993 - 0.000101*K66)*SIN(2*P66)+ 0.00029*SIN(3*P66)</f>
        <v>250.118966833529</v>
      </c>
      <c r="AN66" s="29" t="n">
        <f aca="false">ACOS(COS(V66-$E$6*AM66)*COS(X66))/$E$6</f>
        <v>111.683665491149</v>
      </c>
      <c r="AO66" s="24" t="n">
        <f aca="false">180 - AN66 -0.1468*(1-0.0549*SIN(P66))*SIN($E$6*AN66)/(1-0.0167*SIN($E$6*AM66))</f>
        <v>68.1781051036331</v>
      </c>
      <c r="AP66" s="48" t="n">
        <f aca="false">SIN($E$6*AG66)</f>
        <v>-0.391999947727911</v>
      </c>
      <c r="AQ66" s="48" t="n">
        <f aca="false">COS($E$6*AG66)*SIN($E$6*$E$2) - TAN($E$6*AE66)*COS($E$6*$E$2)</f>
        <v>-0.677251608948594</v>
      </c>
      <c r="AR66" s="48" t="n">
        <f aca="false">IF(OR(AND(AP66*AQ66&gt;0), AND(AP66&lt;0,AQ66&gt;0)), MOD(ATAN2(AQ66,AP66)/$E$6+360,360),  ATAN2(AQ66,AP66)/$E$6)</f>
        <v>210.062684110479</v>
      </c>
      <c r="AS66" s="20" t="n">
        <f aca="false"> 385000.56 + (-20905355*COS(O66) - 3699111*COS(2*Q66-O66) - 2955968*COS(2*Q66) - 569925*COS(2*O66) + (1-0.002516*K66)*48888*COS(P66) - 3149*COS(2*R66)  +246158*COS(2*Q66-2*O66) -(1-0.002516*K66)*152138*COS(2*Q66-P66-O66) -170733*COS(2*Q66+O66) -(1-0.002516*K66)*204586*COS(2*Q66-P66) -(1-0.002516*K66)*129620*COS(P66-O66)  + 108743*COS(Q66) +(1-0.002516*K66)*104755*COS(P66+O66) +10321*COS(2*Q66-2*R66) +79661*COS(O66-2*R66) -34782*COS(4*Q66-O66) -23210*COS(3*O66)  -21636*COS(4*Q66-2*O66) +(1-0.002516*K66)*24208*COS(2*Q66+P66-O66) +(1-0.002516*K66)*30824*COS(2*Q66+P66) -8379*COS(Q66-O66) -(1-0.002516*K66)*16675*COS(Q66+P66)  -(1-0.002516*K66)*12831*COS(2*Q66-P66+O66) -10445*COS(2*Q66+2*O66) -11650*COS(4*Q66) +14403*COS(2*Q66-3*O66) -(1-0.002516*K66)*7003*COS(P66-2*O66)  + (1-0.002516*K66)*10056*COS(2*Q66-P66-2*O66) +6322*COS(Q66+O66) -(1-0.002516*K66)*(1-0.002516*K66)*9884*COS(2*Q66-2*P66) +(1-0.002516*K66)*5751*COS(P66+2*O66) -(1-0.002516*K66)*(1-0.002516*K66)*4950*COS(2*Q66-2*P66-O66)  +4130*COS(2*Q66+O66-2*R66) -(1-0.002516*K66)*3958*COS(4*Q66-P66-O66) +3258*COS(3*Q66-O66) +(1-0.002516*K66)*2616*COS(2*Q66+P66+O66) -(1-0.002516*K66)*1897*COS(4*Q66-P66-2*O66)  -(1-0.002516*K66)*(1-0.002516*K66)*2117*COS(2*P66-O66) +(1-0.002516*K66)*(1-0.002516*K66)*2354*COS(2*Q66+2*P66-O66) -1423*COS(4*Q66+O66) -1117*COS(4*O66) -(1-0.002516*K66)*1571*COS(4*Q66-P66)  -1739*COS(Q66-2*O66) -4421*COS(2*O66-2*R66) +(1-0.002516*K66)*(1-0.002516*K66)*1165*COS(2*P66+O66) +8752*COS(2*Q66-O66-2*R66))/1000</f>
        <v>380757.540926383</v>
      </c>
      <c r="AT66" s="24" t="n">
        <f aca="false">60*ATAN(3476/AS66)/$E$6</f>
        <v>31.3828999834954</v>
      </c>
      <c r="AU66" s="28" t="n">
        <f aca="false">ATAN(0.99664719*TAN($E$6*input!$D$2))</f>
        <v>0.871010436227447</v>
      </c>
      <c r="AV66" s="28" t="n">
        <f aca="false">COS(AU66)</f>
        <v>0.644053912545846</v>
      </c>
      <c r="AW66" s="28" t="n">
        <f aca="false">0.99664719*SIN(AU66)</f>
        <v>0.762415269897027</v>
      </c>
      <c r="AX66" s="28" t="n">
        <f aca="false">6378.14/AS66</f>
        <v>0.0167511849784563</v>
      </c>
      <c r="AY66" s="31" t="n">
        <f aca="false">L66-15*AF66</f>
        <v>203.078999355784</v>
      </c>
      <c r="AZ66" s="29" t="n">
        <f aca="false">COS($E$6*AE66)*SIN($E$6*AY66)</f>
        <v>-0.391642145274344</v>
      </c>
      <c r="BA66" s="29" t="n">
        <f aca="false">COS($E$6*AE66)*COS($E$6*AY66)-AV66*AX66</f>
        <v>-0.929914196396482</v>
      </c>
      <c r="BB66" s="29" t="n">
        <f aca="false">SIN($E$6*AE66)-AW66*AX66</f>
        <v>-0.0554877475490949</v>
      </c>
      <c r="BC66" s="45" t="n">
        <f aca="false">SQRT(AZ66^2+BA66^2+BB66^2)</f>
        <v>1.01054582911557</v>
      </c>
      <c r="BD66" s="20" t="n">
        <f aca="false">AS66*BC66</f>
        <v>384772.944887458</v>
      </c>
      <c r="BE66" s="30" t="str">
        <f aca="false">IF(OR(AND(BD66&gt;BD65,BD66&gt;BD67),AND(BD66&lt;BD65,BD66&lt;BD67)),BD66,"")</f>
        <v/>
      </c>
    </row>
    <row r="67" customFormat="false" ht="15" hidden="false" customHeight="false" outlineLevel="0" collapsed="false">
      <c r="A67" s="31" t="n">
        <v>32.5</v>
      </c>
      <c r="F67" s="38" t="n">
        <f aca="false">AK67</f>
        <v>-36.5966013277364</v>
      </c>
      <c r="G67" s="39" t="n">
        <f aca="false">F67+1.02/(TAN($E$6*(F67+10.3/(F67+5.11)))*60)</f>
        <v>-36.6192236866175</v>
      </c>
      <c r="H67" s="38" t="n">
        <f aca="false">100*(1+COS($E$6*AO67))/2</f>
        <v>68.7940266354569</v>
      </c>
      <c r="I67" s="38" t="n">
        <f aca="false">IF(AG67&gt;180, AR67-180,AR67+180)</f>
        <v>38.511414199986</v>
      </c>
      <c r="J67" s="31" t="n">
        <f aca="false">J66+0.5/24</f>
        <v>2459915.85416667</v>
      </c>
      <c r="K67" s="47" t="n">
        <f aca="false">(J67-2451545)/36525</f>
        <v>0.229181496691836</v>
      </c>
      <c r="L67" s="31" t="n">
        <f aca="false">MOD(280.46061837+360.98564736629*(J67-2451545)+0.000387933*K67^2-K67^3/38710000+$E$4,360)</f>
        <v>213.671002670657</v>
      </c>
      <c r="M67" s="28" t="n">
        <f aca="false">0.606433+1336.855225*K67 - INT(0.606433+1336.855225*K67)</f>
        <v>0.988914325800977</v>
      </c>
      <c r="N67" s="31" t="n">
        <f aca="false">22640*SIN(O67)-4586*SIN(O67-2*Q67)+2370*SIN(2*Q67)+769*SIN(2*O67)-668*SIN(P67)-412*SIN(2*R67)-212*SIN(2*O67-2*Q67)-206*SIN(O67+P67-2*Q67)+192*SIN(O67+2*Q67)-165*SIN(P67-2*Q67)-125*SIN(Q67)-110*SIN(O67+P67)+148*SIN(O67-P67)-55*SIN(2*R67-2*Q67)</f>
        <v>22008.8549760118</v>
      </c>
      <c r="O67" s="29" t="n">
        <f aca="false">2*PI()*(0.374897+1325.55241*K67 - INT(0.374897+1325.55241*K67))</f>
        <v>1.04918052827067</v>
      </c>
      <c r="P67" s="32" t="n">
        <f aca="false">2*PI()*(0.993133+99.997361*K67 - INT(0.993133+99.997361*K67))</f>
        <v>5.72195774458601</v>
      </c>
      <c r="Q67" s="32" t="n">
        <f aca="false">2*PI()*(0.827361+1236.853086*K67 - INT(0.827361+1236.853086*K67))</f>
        <v>1.82967887606149</v>
      </c>
      <c r="R67" s="32" t="n">
        <f aca="false">2*PI()*(0.259086+1342.227825*K67 - INT(0.259086+1342.227825*K67))</f>
        <v>5.48439035552678</v>
      </c>
      <c r="S67" s="32" t="n">
        <f aca="false">R67+(N67+412*SIN(2*R67)+541*SIN(P67))/206264.8062</f>
        <v>5.58769963575787</v>
      </c>
      <c r="T67" s="32" t="n">
        <f aca="false">R67-2*Q67</f>
        <v>1.8250326034038</v>
      </c>
      <c r="U67" s="24" t="n">
        <f aca="false">-526*SIN(T67)+44*SIN(O67+T67)-31*SIN(-O67+T67)-23*SIN(P67+T67)+11*SIN(-P67+T67)-25*SIN(-2*O67+R67)+21*SIN(-O67+R67)</f>
        <v>-547.709174215755</v>
      </c>
      <c r="V67" s="32" t="n">
        <f aca="false">2*PI()*(M67+N67/1296000-INT(M67+N67/1296000))</f>
        <v>0.0370485947317789</v>
      </c>
      <c r="W67" s="31" t="n">
        <f aca="false">V67/$E$6</f>
        <v>2.12272811502155</v>
      </c>
      <c r="X67" s="32" t="n">
        <f aca="false">(18520*SIN(S67)+U67)/206264.8062</f>
        <v>-0.0601874585710106</v>
      </c>
      <c r="Y67" s="32" t="n">
        <f aca="false">COS(X67)*COS(V67)</f>
        <v>0.997504303493673</v>
      </c>
      <c r="Z67" s="32" t="n">
        <f aca="false">COS(X67)*SIN(V67)</f>
        <v>0.0369730506145271</v>
      </c>
      <c r="AA67" s="32" t="n">
        <f aca="false">SIN(X67)</f>
        <v>-0.0601511266715579</v>
      </c>
      <c r="AB67" s="32" t="n">
        <f aca="false">COS($E$6*(23.4393-46.815*K67/3600))*Z67-SIN($E$6*(23.4393-46.815*K67/3600))*AA67</f>
        <v>0.0578467553665809</v>
      </c>
      <c r="AC67" s="32" t="n">
        <f aca="false">SIN($E$6*(23.4393-46.815*K67/3600))*Z67+COS($E$6*(23.4393-46.815*K67/3600))*AA67</f>
        <v>-0.0404835448690097</v>
      </c>
      <c r="AD67" s="32" t="n">
        <f aca="false">SQRT(1-AC67*AC67)</f>
        <v>0.999180205265716</v>
      </c>
      <c r="AE67" s="31" t="n">
        <f aca="false">ATAN(AC67/AD67)/$E$6</f>
        <v>-2.32017031651671</v>
      </c>
      <c r="AF67" s="32" t="n">
        <f aca="false">IF(24*ATAN(AB67/(Y67+AD67))/PI()&gt;0,24*ATAN(AB67/(Y67+AD67))/PI(),24*ATAN(AB67/(Y67+AD67))/PI()+24)</f>
        <v>0.221263338956369</v>
      </c>
      <c r="AG67" s="31" t="n">
        <f aca="false">IF(L67-15*AF67&gt;0,L67-15*AF67,360+L67-15*AF67)</f>
        <v>210.352052586311</v>
      </c>
      <c r="AH67" s="29" t="n">
        <f aca="false">0.950724+0.051818*COS(O67)+0.009531*COS(2*Q67-O67)+0.007843*COS(2*Q67)+0.002824*COS(2*O67)+0.000857*COS(2*Q67+O67)+0.000533*COS(2*Q67-P67)*(1-0.002495*(J67-2415020)/36525)+0.000401*COS(2*Q67-P67-O67)*(1-0.002495*(J67-2415020)/36525)+0.00032*COS(O67-P67)*(1-0.002495*(J67-2415020)/36525)-0.000271*COS(Q67)</f>
        <v>0.959493619420045</v>
      </c>
      <c r="AI67" s="32" t="n">
        <f aca="false">ASIN(COS($E$6*$E$2)*COS($E$6*AE67)*COS($E$6*AG67)+SIN($E$6*$E$2)*SIN($E$6*AE67))/$E$6</f>
        <v>-35.8201285397201</v>
      </c>
      <c r="AJ67" s="29" t="n">
        <f aca="false">ASIN((0.9983271+0.0016764*COS($E$6*2*$E$2))*COS($E$6*AI67)*SIN($E$6*AH67))/$E$6</f>
        <v>0.776472788016226</v>
      </c>
      <c r="AK67" s="29" t="n">
        <f aca="false">AI67-AJ67</f>
        <v>-36.5966013277364</v>
      </c>
      <c r="AL67" s="31" t="n">
        <f aca="false"> MOD(280.4664567 + 360007.6982779*K67/10 + 0.03032028*K67^2/100 + K67^3/49931000,360)</f>
        <v>251.176783816913</v>
      </c>
      <c r="AM67" s="29" t="n">
        <f aca="false"> AL67 + (1.9146 - 0.004817*K67 - 0.000014*K67^2)*SIN(P67)+ (0.019993 - 0.000101*K67)*SIN(2*P67)+ 0.00029*SIN(3*P67)</f>
        <v>250.14008781003</v>
      </c>
      <c r="AN67" s="29" t="n">
        <f aca="false">ACOS(COS(V67-$E$6*AM67)*COS(X67))/$E$6</f>
        <v>111.940766723025</v>
      </c>
      <c r="AO67" s="24" t="n">
        <f aca="false">180 - AN67 -0.1468*(1-0.0549*SIN(P67))*SIN($E$6*AN67)/(1-0.0167*SIN($E$6*AM67))</f>
        <v>67.921254410887</v>
      </c>
      <c r="AP67" s="48" t="n">
        <f aca="false">SIN($E$6*AG67)</f>
        <v>-0.505311800874215</v>
      </c>
      <c r="AQ67" s="48" t="n">
        <f aca="false">COS($E$6*AG67)*SIN($E$6*$E$2) - TAN($E$6*AE67)*COS($E$6*$E$2)</f>
        <v>-0.635004296908964</v>
      </c>
      <c r="AR67" s="48" t="n">
        <f aca="false">IF(OR(AND(AP67*AQ67&gt;0), AND(AP67&lt;0,AQ67&gt;0)), MOD(ATAN2(AQ67,AP67)/$E$6+360,360),  ATAN2(AQ67,AP67)/$E$6)</f>
        <v>218.511414199986</v>
      </c>
      <c r="AS67" s="20" t="n">
        <f aca="false"> 385000.56 + (-20905355*COS(O67) - 3699111*COS(2*Q67-O67) - 2955968*COS(2*Q67) - 569925*COS(2*O67) + (1-0.002516*K67)*48888*COS(P67) - 3149*COS(2*R67)  +246158*COS(2*Q67-2*O67) -(1-0.002516*K67)*152138*COS(2*Q67-P67-O67) -170733*COS(2*Q67+O67) -(1-0.002516*K67)*204586*COS(2*Q67-P67) -(1-0.002516*K67)*129620*COS(P67-O67)  + 108743*COS(Q67) +(1-0.002516*K67)*104755*COS(P67+O67) +10321*COS(2*Q67-2*R67) +79661*COS(O67-2*R67) -34782*COS(4*Q67-O67) -23210*COS(3*O67)  -21636*COS(4*Q67-2*O67) +(1-0.002516*K67)*24208*COS(2*Q67+P67-O67) +(1-0.002516*K67)*30824*COS(2*Q67+P67) -8379*COS(Q67-O67) -(1-0.002516*K67)*16675*COS(Q67+P67)  -(1-0.002516*K67)*12831*COS(2*Q67-P67+O67) -10445*COS(2*Q67+2*O67) -11650*COS(4*Q67) +14403*COS(2*Q67-3*O67) -(1-0.002516*K67)*7003*COS(P67-2*O67)  + (1-0.002516*K67)*10056*COS(2*Q67-P67-2*O67) +6322*COS(Q67+O67) -(1-0.002516*K67)*(1-0.002516*K67)*9884*COS(2*Q67-2*P67) +(1-0.002516*K67)*5751*COS(P67+2*O67) -(1-0.002516*K67)*(1-0.002516*K67)*4950*COS(2*Q67-2*P67-O67)  +4130*COS(2*Q67+O67-2*R67) -(1-0.002516*K67)*3958*COS(4*Q67-P67-O67) +3258*COS(3*Q67-O67) +(1-0.002516*K67)*2616*COS(2*Q67+P67+O67) -(1-0.002516*K67)*1897*COS(4*Q67-P67-2*O67)  -(1-0.002516*K67)*(1-0.002516*K67)*2117*COS(2*P67-O67) +(1-0.002516*K67)*(1-0.002516*K67)*2354*COS(2*Q67+2*P67-O67) -1423*COS(4*Q67+O67) -1117*COS(4*O67) -(1-0.002516*K67)*1571*COS(4*Q67-P67)  -1739*COS(Q67-2*O67) -4421*COS(2*O67-2*R67) +(1-0.002516*K67)*(1-0.002516*K67)*1165*COS(2*P67+O67) +8752*COS(2*Q67-O67-2*R67))/1000</f>
        <v>380839.103995206</v>
      </c>
      <c r="AT67" s="24" t="n">
        <f aca="false">60*ATAN(3476/AS67)/$E$6</f>
        <v>31.3761791834482</v>
      </c>
      <c r="AU67" s="28" t="n">
        <f aca="false">ATAN(0.99664719*TAN($E$6*input!$D$2))</f>
        <v>0.871010436227447</v>
      </c>
      <c r="AV67" s="28" t="n">
        <f aca="false">COS(AU67)</f>
        <v>0.644053912545846</v>
      </c>
      <c r="AW67" s="28" t="n">
        <f aca="false">0.99664719*SIN(AU67)</f>
        <v>0.762415269897027</v>
      </c>
      <c r="AX67" s="28" t="n">
        <f aca="false">6378.14/AS67</f>
        <v>0.0167475974318023</v>
      </c>
      <c r="AY67" s="31" t="n">
        <f aca="false">L67-15*AF67</f>
        <v>210.352052586311</v>
      </c>
      <c r="AZ67" s="29" t="n">
        <f aca="false">COS($E$6*AE67)*SIN($E$6*AY67)</f>
        <v>-0.504897548920687</v>
      </c>
      <c r="BA67" s="29" t="n">
        <f aca="false">COS($E$6*AE67)*COS($E$6*AY67)-AV67*AX67</f>
        <v>-0.873015761140004</v>
      </c>
      <c r="BB67" s="29" t="n">
        <f aca="false">SIN($E$6*AE67)-AW67*AX67</f>
        <v>-0.053252168885104</v>
      </c>
      <c r="BC67" s="45" t="n">
        <f aca="false">SQRT(AZ67^2+BA67^2+BB67^2)</f>
        <v>1.00990784113995</v>
      </c>
      <c r="BD67" s="20" t="n">
        <f aca="false">AS67*BC67</f>
        <v>384612.39733747</v>
      </c>
      <c r="BE67" s="30" t="str">
        <f aca="false">IF(OR(AND(BD67&gt;BD66,BD67&gt;BD68),AND(BD67&lt;BD66,BD67&lt;BD68)),BD67,"")</f>
        <v/>
      </c>
    </row>
    <row r="68" customFormat="false" ht="15" hidden="false" customHeight="false" outlineLevel="0" collapsed="false">
      <c r="A68" s="31" t="n">
        <v>33</v>
      </c>
      <c r="F68" s="38" t="n">
        <f aca="false">AK68</f>
        <v>-33.3566548760764</v>
      </c>
      <c r="G68" s="39" t="n">
        <f aca="false">F68+1.02/(TAN($E$6*(F68+10.3/(F68+5.11)))*60)</f>
        <v>-33.3821247835483</v>
      </c>
      <c r="H68" s="38" t="n">
        <f aca="false">100*(1+COS($E$6*AO68))/2</f>
        <v>69.0014511537406</v>
      </c>
      <c r="I68" s="38" t="n">
        <f aca="false">IF(AG68&gt;180, AR68-180,AR68+180)</f>
        <v>46.3630022818484</v>
      </c>
      <c r="J68" s="31" t="n">
        <f aca="false">J67+0.5/24</f>
        <v>2459915.875</v>
      </c>
      <c r="K68" s="47" t="n">
        <f aca="false">(J68-2451545)/36525</f>
        <v>0.229182067077421</v>
      </c>
      <c r="L68" s="31" t="n">
        <f aca="false">MOD(280.46061837+360.98564736629*(J68-2451545)+0.000387933*K68^2-K68^3/38710000+$E$4,360)</f>
        <v>221.191537046805</v>
      </c>
      <c r="M68" s="28" t="n">
        <f aca="false">0.606433+1336.855225*K68 - INT(0.606433+1336.855225*K68)</f>
        <v>0.989676848750435</v>
      </c>
      <c r="N68" s="31" t="n">
        <f aca="false">22640*SIN(O68)-4586*SIN(O68-2*Q68)+2370*SIN(2*Q68)+769*SIN(2*O68)-668*SIN(P68)-412*SIN(2*R68)-212*SIN(2*O68-2*Q68)-206*SIN(O68+P68-2*Q68)+192*SIN(O68+2*Q68)-165*SIN(P68-2*Q68)-125*SIN(Q68)-110*SIN(O68+P68)+148*SIN(O68-P68)-55*SIN(2*R68-2*Q68)</f>
        <v>22022.0768350017</v>
      </c>
      <c r="O68" s="29" t="n">
        <f aca="false">2*PI()*(0.374897+1325.55241*K68 - INT(0.374897+1325.55241*K68))</f>
        <v>1.05393109380151</v>
      </c>
      <c r="P68" s="32" t="n">
        <f aca="false">2*PI()*(0.993133+99.997361*K68 - INT(0.993133+99.997361*K68))</f>
        <v>5.72231611896093</v>
      </c>
      <c r="Q68" s="32" t="n">
        <f aca="false">2*PI()*(0.827361+1236.853086*K68 - INT(0.827361+1236.853086*K68))</f>
        <v>1.83411155755547</v>
      </c>
      <c r="R68" s="32" t="n">
        <f aca="false">2*PI()*(0.259086+1342.227825*K68 - INT(0.259086+1342.227825*K68))</f>
        <v>5.48920068304873</v>
      </c>
      <c r="S68" s="32" t="n">
        <f aca="false">R68+(N68+412*SIN(2*R68)+541*SIN(P68))/206264.8062</f>
        <v>5.59257443811479</v>
      </c>
      <c r="T68" s="32" t="n">
        <f aca="false">R68-2*Q68</f>
        <v>1.82097756793779</v>
      </c>
      <c r="U68" s="24" t="n">
        <f aca="false">-526*SIN(T68)+44*SIN(O68+T68)-31*SIN(-O68+T68)-23*SIN(P68+T68)+11*SIN(-P68+T68)-25*SIN(-2*O68+R68)+21*SIN(-O68+R68)</f>
        <v>-548.128340865845</v>
      </c>
      <c r="V68" s="32" t="n">
        <f aca="false">2*PI()*(M68+N68/1296000-INT(M68+N68/1296000))</f>
        <v>0.0419037691054796</v>
      </c>
      <c r="W68" s="31" t="n">
        <f aca="false">V68/$E$6</f>
        <v>2.40090911543467</v>
      </c>
      <c r="X68" s="32" t="n">
        <f aca="false">(18520*SIN(S68)+U68)/206264.8062</f>
        <v>-0.0598527704106476</v>
      </c>
      <c r="Y68" s="32" t="n">
        <f aca="false">COS(X68)*COS(V68)</f>
        <v>0.997333095009755</v>
      </c>
      <c r="Z68" s="32" t="n">
        <f aca="false">COS(X68)*SIN(V68)</f>
        <v>0.041816494154732</v>
      </c>
      <c r="AA68" s="32" t="n">
        <f aca="false">SIN(X68)</f>
        <v>-0.0598170411744831</v>
      </c>
      <c r="AB68" s="32" t="n">
        <f aca="false">COS($E$6*(23.4393-46.815*K68/3600))*Z68-SIN($E$6*(23.4393-46.815*K68/3600))*AA68</f>
        <v>0.0621577521563885</v>
      </c>
      <c r="AC68" s="32" t="n">
        <f aca="false">SIN($E$6*(23.4393-46.815*K68/3600))*Z68+COS($E$6*(23.4393-46.815*K68/3600))*AA68</f>
        <v>-0.0382506398002377</v>
      </c>
      <c r="AD68" s="32" t="n">
        <f aca="false">SQRT(1-AC68*AC68)</f>
        <v>0.999268176494615</v>
      </c>
      <c r="AE68" s="31" t="n">
        <f aca="false">ATAN(AC68/AD68)/$E$6</f>
        <v>-2.19213500229679</v>
      </c>
      <c r="AF68" s="32" t="n">
        <f aca="false">IF(24*ATAN(AB68/(Y68+AD68))/PI()&gt;0,24*ATAN(AB68/(Y68+AD68))/PI(),24*ATAN(AB68/(Y68+AD68))/PI()+24)</f>
        <v>0.237752493659045</v>
      </c>
      <c r="AG68" s="31" t="n">
        <f aca="false">IF(L68-15*AF68&gt;0,L68-15*AF68,360+L68-15*AF68)</f>
        <v>217.625249641919</v>
      </c>
      <c r="AH68" s="29" t="n">
        <f aca="false">0.950724+0.051818*COS(O68)+0.009531*COS(2*Q68-O68)+0.007843*COS(2*Q68)+0.002824*COS(2*O68)+0.000857*COS(2*Q68+O68)+0.000533*COS(2*Q68-P68)*(1-0.002495*(J68-2415020)/36525)+0.000401*COS(2*Q68-P68-O68)*(1-0.002495*(J68-2415020)/36525)+0.00032*COS(O68-P68)*(1-0.002495*(J68-2415020)/36525)-0.000271*COS(Q68)</f>
        <v>0.959287128817586</v>
      </c>
      <c r="AI68" s="32" t="n">
        <f aca="false">ASIN(COS($E$6*$E$2)*COS($E$6*AE68)*COS($E$6*AG68)+SIN($E$6*$E$2)*SIN($E$6*AE68))/$E$6</f>
        <v>-32.5496463615523</v>
      </c>
      <c r="AJ68" s="29" t="n">
        <f aca="false">ASIN((0.9983271+0.0016764*COS($E$6*2*$E$2))*COS($E$6*AI68)*SIN($E$6*AH68))/$E$6</f>
        <v>0.807008514524081</v>
      </c>
      <c r="AK68" s="29" t="n">
        <f aca="false">AI68-AJ68</f>
        <v>-33.3566548760764</v>
      </c>
      <c r="AL68" s="31" t="n">
        <f aca="false"> MOD(280.4664567 + 360007.6982779*K68/10 + 0.03032028*K68^2/100 + K68^3/49931000,360)</f>
        <v>251.197318137147</v>
      </c>
      <c r="AM68" s="29" t="n">
        <f aca="false"> AL68 + (1.9146 - 0.004817*K68 - 0.000014*K68^2)*SIN(P68)+ (0.019993 - 0.000101*K68)*SIN(2*P68)+ 0.00029*SIN(3*P68)</f>
        <v>250.161208926905</v>
      </c>
      <c r="AN68" s="29" t="n">
        <f aca="false">ACOS(COS(V68-$E$6*AM68)*COS(X68))/$E$6</f>
        <v>112.197754756445</v>
      </c>
      <c r="AO68" s="24" t="n">
        <f aca="false">180 - AN68 -0.1468*(1-0.0549*SIN(P68))*SIN($E$6*AN68)/(1-0.0167*SIN($E$6*AM68))</f>
        <v>67.6645195749434</v>
      </c>
      <c r="AP68" s="48" t="n">
        <f aca="false">SIN($E$6*AG68)</f>
        <v>-0.610494258279509</v>
      </c>
      <c r="AQ68" s="48" t="n">
        <f aca="false">COS($E$6*AG68)*SIN($E$6*$E$2) - TAN($E$6*AE68)*COS($E$6*$E$2)</f>
        <v>-0.582117998353543</v>
      </c>
      <c r="AR68" s="48" t="n">
        <f aca="false">IF(OR(AND(AP68*AQ68&gt;0), AND(AP68&lt;0,AQ68&gt;0)), MOD(ATAN2(AQ68,AP68)/$E$6+360,360),  ATAN2(AQ68,AP68)/$E$6)</f>
        <v>226.363002281848</v>
      </c>
      <c r="AS68" s="20" t="n">
        <f aca="false"> 385000.56 + (-20905355*COS(O68) - 3699111*COS(2*Q68-O68) - 2955968*COS(2*Q68) - 569925*COS(2*O68) + (1-0.002516*K68)*48888*COS(P68) - 3149*COS(2*R68)  +246158*COS(2*Q68-2*O68) -(1-0.002516*K68)*152138*COS(2*Q68-P68-O68) -170733*COS(2*Q68+O68) -(1-0.002516*K68)*204586*COS(2*Q68-P68) -(1-0.002516*K68)*129620*COS(P68-O68)  + 108743*COS(Q68) +(1-0.002516*K68)*104755*COS(P68+O68) +10321*COS(2*Q68-2*R68) +79661*COS(O68-2*R68) -34782*COS(4*Q68-O68) -23210*COS(3*O68)  -21636*COS(4*Q68-2*O68) +(1-0.002516*K68)*24208*COS(2*Q68+P68-O68) +(1-0.002516*K68)*30824*COS(2*Q68+P68) -8379*COS(Q68-O68) -(1-0.002516*K68)*16675*COS(Q68+P68)  -(1-0.002516*K68)*12831*COS(2*Q68-P68+O68) -10445*COS(2*Q68+2*O68) -11650*COS(4*Q68) +14403*COS(2*Q68-3*O68) -(1-0.002516*K68)*7003*COS(P68-2*O68)  + (1-0.002516*K68)*10056*COS(2*Q68-P68-2*O68) +6322*COS(Q68+O68) -(1-0.002516*K68)*(1-0.002516*K68)*9884*COS(2*Q68-2*P68) +(1-0.002516*K68)*5751*COS(P68+2*O68) -(1-0.002516*K68)*(1-0.002516*K68)*4950*COS(2*Q68-2*P68-O68)  +4130*COS(2*Q68+O68-2*R68) -(1-0.002516*K68)*3958*COS(4*Q68-P68-O68) +3258*COS(3*Q68-O68) +(1-0.002516*K68)*2616*COS(2*Q68+P68+O68) -(1-0.002516*K68)*1897*COS(4*Q68-P68-2*O68)  -(1-0.002516*K68)*(1-0.002516*K68)*2117*COS(2*P68-O68) +(1-0.002516*K68)*(1-0.002516*K68)*2354*COS(2*Q68+2*P68-O68) -1423*COS(4*Q68+O68) -1117*COS(4*O68) -(1-0.002516*K68)*1571*COS(4*Q68-P68)  -1739*COS(Q68-2*O68) -4421*COS(2*O68-2*R68) +(1-0.002516*K68)*(1-0.002516*K68)*1165*COS(2*P68+O68) +8752*COS(2*Q68-O68-2*R68))/1000</f>
        <v>380920.621807734</v>
      </c>
      <c r="AT68" s="24" t="n">
        <f aca="false">60*ATAN(3476/AS68)/$E$6</f>
        <v>31.3694649880147</v>
      </c>
      <c r="AU68" s="28" t="n">
        <f aca="false">ATAN(0.99664719*TAN($E$6*input!$D$2))</f>
        <v>0.871010436227447</v>
      </c>
      <c r="AV68" s="28" t="n">
        <f aca="false">COS(AU68)</f>
        <v>0.644053912545846</v>
      </c>
      <c r="AW68" s="28" t="n">
        <f aca="false">0.99664719*SIN(AU68)</f>
        <v>0.762415269897027</v>
      </c>
      <c r="AX68" s="28" t="n">
        <f aca="false">6378.14/AS68</f>
        <v>0.0167440134108027</v>
      </c>
      <c r="AY68" s="31" t="n">
        <f aca="false">L68-15*AF68</f>
        <v>217.625249641919</v>
      </c>
      <c r="AZ68" s="29" t="n">
        <f aca="false">COS($E$6*AE68)*SIN($E$6*AY68)</f>
        <v>-0.610047484231398</v>
      </c>
      <c r="BA68" s="29" t="n">
        <f aca="false">COS($E$6*AE68)*COS($E$6*AY68)-AV68*AX68</f>
        <v>-0.802225109928983</v>
      </c>
      <c r="BB68" s="29" t="n">
        <f aca="false">SIN($E$6*AE68)-AW68*AX68</f>
        <v>-0.0510165313039943</v>
      </c>
      <c r="BC68" s="45" t="n">
        <f aca="false">SQRT(AZ68^2+BA68^2+BB68^2)</f>
        <v>1.00912127441845</v>
      </c>
      <c r="BD68" s="20" t="n">
        <f aca="false">AS68*BC68</f>
        <v>384395.103330889</v>
      </c>
      <c r="BE68" s="30" t="str">
        <f aca="false">IF(OR(AND(BD68&gt;BD67,BD68&gt;BD69),AND(BD68&lt;BD67,BD68&lt;BD69)),BD68,"")</f>
        <v/>
      </c>
    </row>
    <row r="69" customFormat="false" ht="15" hidden="false" customHeight="false" outlineLevel="0" collapsed="false">
      <c r="A69" s="31" t="n">
        <v>33.5</v>
      </c>
      <c r="F69" s="38" t="n">
        <f aca="false">AK69</f>
        <v>-29.694926178546</v>
      </c>
      <c r="G69" s="39" t="n">
        <f aca="false">F69+1.02/(TAN($E$6*(F69+10.3/(F69+5.11)))*60)</f>
        <v>-29.7242363478259</v>
      </c>
      <c r="H69" s="38" t="n">
        <f aca="false">100*(1+COS($E$6*AO69))/2</f>
        <v>69.2084009817958</v>
      </c>
      <c r="I69" s="38" t="n">
        <f aca="false">IF(AG69&gt;180, AR69-180,AR69+180)</f>
        <v>53.6491579465884</v>
      </c>
      <c r="J69" s="31" t="n">
        <f aca="false">J68+0.5/24</f>
        <v>2459915.89583334</v>
      </c>
      <c r="K69" s="47" t="n">
        <f aca="false">(J69-2451545)/36525</f>
        <v>0.229182637463006</v>
      </c>
      <c r="L69" s="31" t="n">
        <f aca="false">MOD(280.46061837+360.98564736629*(J69-2451545)+0.000387933*K69^2-K69^3/38710000+$E$4,360)</f>
        <v>228.712071422953</v>
      </c>
      <c r="M69" s="28" t="n">
        <f aca="false">0.606433+1336.855225*K69 - INT(0.606433+1336.855225*K69)</f>
        <v>0.990439371699893</v>
      </c>
      <c r="N69" s="31" t="n">
        <f aca="false">22640*SIN(O69)-4586*SIN(O69-2*Q69)+2370*SIN(2*Q69)+769*SIN(2*O69)-668*SIN(P69)-412*SIN(2*R69)-212*SIN(2*O69-2*Q69)-206*SIN(O69+P69-2*Q69)+192*SIN(O69+2*Q69)-165*SIN(P69-2*Q69)-125*SIN(Q69)-110*SIN(O69+P69)+148*SIN(O69-P69)-55*SIN(2*R69-2*Q69)</f>
        <v>22034.8583155278</v>
      </c>
      <c r="O69" s="29" t="n">
        <f aca="false">2*PI()*(0.374897+1325.55241*K69 - INT(0.374897+1325.55241*K69))</f>
        <v>1.05868165933235</v>
      </c>
      <c r="P69" s="32" t="n">
        <f aca="false">2*PI()*(0.993133+99.997361*K69 - INT(0.993133+99.997361*K69))</f>
        <v>5.72267449333583</v>
      </c>
      <c r="Q69" s="32" t="n">
        <f aca="false">2*PI()*(0.827361+1236.853086*K69 - INT(0.827361+1236.853086*K69))</f>
        <v>1.83854423904909</v>
      </c>
      <c r="R69" s="32" t="n">
        <f aca="false">2*PI()*(0.259086+1342.227825*K69 - INT(0.259086+1342.227825*K69))</f>
        <v>5.49401101057068</v>
      </c>
      <c r="S69" s="32" t="n">
        <f aca="false">R69+(N69+412*SIN(2*R69)+541*SIN(P69))/206264.8062</f>
        <v>5.59744729048351</v>
      </c>
      <c r="T69" s="32" t="n">
        <f aca="false">R69-2*Q69</f>
        <v>1.8169225324725</v>
      </c>
      <c r="U69" s="24" t="n">
        <f aca="false">-526*SIN(T69)+44*SIN(O69+T69)-31*SIN(-O69+T69)-23*SIN(P69+T69)+11*SIN(-P69+T69)-25*SIN(-2*O69+R69)+21*SIN(-O69+R69)</f>
        <v>-548.537443905761</v>
      </c>
      <c r="V69" s="32" t="n">
        <f aca="false">2*PI()*(M69+N69/1296000-INT(M69+N69/1296000))</f>
        <v>0.0467568084641406</v>
      </c>
      <c r="W69" s="31" t="n">
        <f aca="false">V69/$E$6</f>
        <v>2.67896778849682</v>
      </c>
      <c r="X69" s="32" t="n">
        <f aca="false">(18520*SIN(S69)+U69)/206264.8062</f>
        <v>-0.0595168097968674</v>
      </c>
      <c r="Y69" s="32" t="n">
        <f aca="false">COS(X69)*COS(V69)</f>
        <v>0.997138432081611</v>
      </c>
      <c r="Z69" s="32" t="n">
        <f aca="false">COS(X69)*SIN(V69)</f>
        <v>0.0466570161470546</v>
      </c>
      <c r="AA69" s="32" t="n">
        <f aca="false">SIN(X69)</f>
        <v>-0.0594816787765731</v>
      </c>
      <c r="AB69" s="32" t="n">
        <f aca="false">COS($E$6*(23.4393-46.815*K69/3600))*Z69-SIN($E$6*(23.4393-46.815*K69/3600))*AA69</f>
        <v>0.0664655605575081</v>
      </c>
      <c r="AC69" s="32" t="n">
        <f aca="false">SIN($E$6*(23.4393-46.815*K69/3600))*Z69+COS($E$6*(23.4393-46.815*K69/3600))*AA69</f>
        <v>-0.0360177251586237</v>
      </c>
      <c r="AD69" s="32" t="n">
        <f aca="false">SQRT(1-AC69*AC69)</f>
        <v>0.999351151234839</v>
      </c>
      <c r="AE69" s="31" t="n">
        <f aca="false">ATAN(AC69/AD69)/$E$6</f>
        <v>-2.06411009032649</v>
      </c>
      <c r="AF69" s="32" t="n">
        <f aca="false">IF(24*ATAN(AB69/(Y69+AD69))/PI()&gt;0,24*ATAN(AB69/(Y69+AD69))/PI(),24*ATAN(AB69/(Y69+AD69))/PI()+24)</f>
        <v>0.254232241013501</v>
      </c>
      <c r="AG69" s="31" t="n">
        <f aca="false">IF(L69-15*AF69&gt;0,L69-15*AF69,360+L69-15*AF69)</f>
        <v>224.898587807751</v>
      </c>
      <c r="AH69" s="29" t="n">
        <f aca="false">0.950724+0.051818*COS(O69)+0.009531*COS(2*Q69-O69)+0.007843*COS(2*Q69)+0.002824*COS(2*O69)+0.000857*COS(2*Q69+O69)+0.000533*COS(2*Q69-P69)*(1-0.002495*(J69-2415020)/36525)+0.000401*COS(2*Q69-P69-O69)*(1-0.002495*(J69-2415020)/36525)+0.00032*COS(O69-P69)*(1-0.002495*(J69-2415020)/36525)-0.000271*COS(Q69)</f>
        <v>0.959080883950441</v>
      </c>
      <c r="AI69" s="32" t="n">
        <f aca="false">ASIN(COS($E$6*$E$2)*COS($E$6*AE69)*COS($E$6*AG69)+SIN($E$6*$E$2)*SIN($E$6*AE69))/$E$6</f>
        <v>-28.8565929616929</v>
      </c>
      <c r="AJ69" s="29" t="n">
        <f aca="false">ASIN((0.9983271+0.0016764*COS($E$6*2*$E$2))*COS($E$6*AI69)*SIN($E$6*AH69))/$E$6</f>
        <v>0.83833321685302</v>
      </c>
      <c r="AK69" s="29" t="n">
        <f aca="false">AI69-AJ69</f>
        <v>-29.694926178546</v>
      </c>
      <c r="AL69" s="31" t="n">
        <f aca="false"> MOD(280.4664567 + 360007.6982779*K69/10 + 0.03032028*K69^2/100 + K69^3/49931000,360)</f>
        <v>251.217852457381</v>
      </c>
      <c r="AM69" s="29" t="n">
        <f aca="false"> AL69 + (1.9146 - 0.004817*K69 - 0.000014*K69^2)*SIN(P69)+ (0.019993 - 0.000101*K69)*SIN(2*P69)+ 0.00029*SIN(3*P69)</f>
        <v>250.182330184075</v>
      </c>
      <c r="AN69" s="29" t="n">
        <f aca="false">ACOS(COS(V69-$E$6*AM69)*COS(X69))/$E$6</f>
        <v>112.45462979297</v>
      </c>
      <c r="AO69" s="24" t="n">
        <f aca="false">180 - AN69 -0.1468*(1-0.0549*SIN(P69))*SIN($E$6*AN69)/(1-0.0167*SIN($E$6*AM69))</f>
        <v>67.4079003855858</v>
      </c>
      <c r="AP69" s="48" t="n">
        <f aca="false">SIN($E$6*AG69)</f>
        <v>-0.705854111725827</v>
      </c>
      <c r="AQ69" s="48" t="n">
        <f aca="false">COS($E$6*AG69)*SIN($E$6*$E$2) - TAN($E$6*AE69)*COS($E$6*$E$2)</f>
        <v>-0.519466344732925</v>
      </c>
      <c r="AR69" s="48" t="n">
        <f aca="false">IF(OR(AND(AP69*AQ69&gt;0), AND(AP69&lt;0,AQ69&gt;0)), MOD(ATAN2(AQ69,AP69)/$E$6+360,360),  ATAN2(AQ69,AP69)/$E$6)</f>
        <v>233.649157946588</v>
      </c>
      <c r="AS69" s="20" t="n">
        <f aca="false"> 385000.56 + (-20905355*COS(O69) - 3699111*COS(2*Q69-O69) - 2955968*COS(2*Q69) - 569925*COS(2*O69) + (1-0.002516*K69)*48888*COS(P69) - 3149*COS(2*R69)  +246158*COS(2*Q69-2*O69) -(1-0.002516*K69)*152138*COS(2*Q69-P69-O69) -170733*COS(2*Q69+O69) -(1-0.002516*K69)*204586*COS(2*Q69-P69) -(1-0.002516*K69)*129620*COS(P69-O69)  + 108743*COS(Q69) +(1-0.002516*K69)*104755*COS(P69+O69) +10321*COS(2*Q69-2*R69) +79661*COS(O69-2*R69) -34782*COS(4*Q69-O69) -23210*COS(3*O69)  -21636*COS(4*Q69-2*O69) +(1-0.002516*K69)*24208*COS(2*Q69+P69-O69) +(1-0.002516*K69)*30824*COS(2*Q69+P69) -8379*COS(Q69-O69) -(1-0.002516*K69)*16675*COS(Q69+P69)  -(1-0.002516*K69)*12831*COS(2*Q69-P69+O69) -10445*COS(2*Q69+2*O69) -11650*COS(4*Q69) +14403*COS(2*Q69-3*O69) -(1-0.002516*K69)*7003*COS(P69-2*O69)  + (1-0.002516*K69)*10056*COS(2*Q69-P69-2*O69) +6322*COS(Q69+O69) -(1-0.002516*K69)*(1-0.002516*K69)*9884*COS(2*Q69-2*P69) +(1-0.002516*K69)*5751*COS(P69+2*O69) -(1-0.002516*K69)*(1-0.002516*K69)*4950*COS(2*Q69-2*P69-O69)  +4130*COS(2*Q69+O69-2*R69) -(1-0.002516*K69)*3958*COS(4*Q69-P69-O69) +3258*COS(3*Q69-O69) +(1-0.002516*K69)*2616*COS(2*Q69+P69+O69) -(1-0.002516*K69)*1897*COS(4*Q69-P69-2*O69)  -(1-0.002516*K69)*(1-0.002516*K69)*2117*COS(2*P69-O69) +(1-0.002516*K69)*(1-0.002516*K69)*2354*COS(2*Q69+2*P69-O69) -1423*COS(4*Q69+O69) -1117*COS(4*O69) -(1-0.002516*K69)*1571*COS(4*Q69-P69)  -1739*COS(Q69-2*O69) -4421*COS(2*O69-2*R69) +(1-0.002516*K69)*(1-0.002516*K69)*1165*COS(2*P69+O69) +8752*COS(2*Q69-O69-2*R69))/1000</f>
        <v>381002.09343646</v>
      </c>
      <c r="AT69" s="24" t="n">
        <f aca="false">60*ATAN(3476/AS69)/$E$6</f>
        <v>31.3627574669083</v>
      </c>
      <c r="AU69" s="28" t="n">
        <f aca="false">ATAN(0.99664719*TAN($E$6*input!$D$2))</f>
        <v>0.871010436227447</v>
      </c>
      <c r="AV69" s="28" t="n">
        <f aca="false">COS(AU69)</f>
        <v>0.644053912545846</v>
      </c>
      <c r="AW69" s="28" t="n">
        <f aca="false">0.99664719*SIN(AU69)</f>
        <v>0.762415269897027</v>
      </c>
      <c r="AX69" s="28" t="n">
        <f aca="false">6378.14/AS69</f>
        <v>0.0167404329526701</v>
      </c>
      <c r="AY69" s="31" t="n">
        <f aca="false">L69-15*AF69</f>
        <v>224.898587807751</v>
      </c>
      <c r="AZ69" s="29" t="n">
        <f aca="false">COS($E$6*AE69)*SIN($E$6*AY69)</f>
        <v>-0.70539611915705</v>
      </c>
      <c r="BA69" s="29" t="n">
        <f aca="false">COS($E$6*AE69)*COS($E$6*AY69)-AV69*AX69</f>
        <v>-0.718679360034833</v>
      </c>
      <c r="BB69" s="29" t="n">
        <f aca="false">SIN($E$6*AE69)-AW69*AX69</f>
        <v>-0.0487808868664268</v>
      </c>
      <c r="BC69" s="45" t="n">
        <f aca="false">SQRT(AZ69^2+BA69^2+BB69^2)</f>
        <v>1.00819803728503</v>
      </c>
      <c r="BD69" s="20" t="n">
        <f aca="false">AS69*BC69</f>
        <v>384125.562804125</v>
      </c>
      <c r="BE69" s="30" t="str">
        <f aca="false">IF(OR(AND(BD69&gt;BD68,BD69&gt;BD70),AND(BD69&lt;BD68,BD69&lt;BD70)),BD69,"")</f>
        <v/>
      </c>
    </row>
    <row r="70" customFormat="false" ht="15" hidden="false" customHeight="false" outlineLevel="0" collapsed="false">
      <c r="A70" s="31" t="n">
        <v>34</v>
      </c>
      <c r="F70" s="38" t="n">
        <f aca="false">AK70</f>
        <v>-25.6950679097759</v>
      </c>
      <c r="G70" s="39" t="n">
        <f aca="false">F70+1.02/(TAN($E$6*(F70+10.3/(F70+5.11)))*60)</f>
        <v>-25.7296234280471</v>
      </c>
      <c r="H70" s="38" t="n">
        <f aca="false">100*(1+COS($E$6*AO70))/2</f>
        <v>69.4148726555117</v>
      </c>
      <c r="I70" s="38" t="n">
        <f aca="false">IF(AG70&gt;180, AR70-180,AR70+180)</f>
        <v>60.4340398155096</v>
      </c>
      <c r="J70" s="31" t="n">
        <f aca="false">J69+0.5/24</f>
        <v>2459915.91666667</v>
      </c>
      <c r="K70" s="47" t="n">
        <f aca="false">(J70-2451545)/36525</f>
        <v>0.229183207848591</v>
      </c>
      <c r="L70" s="31" t="n">
        <f aca="false">MOD(280.46061837+360.98564736629*(J70-2451545)+0.000387933*K70^2-K70^3/38710000+$E$4,360)</f>
        <v>236.232605799101</v>
      </c>
      <c r="M70" s="28" t="n">
        <f aca="false">0.606433+1336.855225*K70 - INT(0.606433+1336.855225*K70)</f>
        <v>0.991201894649294</v>
      </c>
      <c r="N70" s="31" t="n">
        <f aca="false">22640*SIN(O70)-4586*SIN(O70-2*Q70)+2370*SIN(2*Q70)+769*SIN(2*O70)-668*SIN(P70)-412*SIN(2*R70)-212*SIN(2*O70-2*Q70)-206*SIN(O70+P70-2*Q70)+192*SIN(O70+2*Q70)-165*SIN(P70-2*Q70)-125*SIN(Q70)-110*SIN(O70+P70)+148*SIN(O70-P70)-55*SIN(2*R70-2*Q70)</f>
        <v>22047.2003194408</v>
      </c>
      <c r="O70" s="29" t="n">
        <f aca="false">2*PI()*(0.374897+1325.55241*K70 - INT(0.374897+1325.55241*K70))</f>
        <v>1.06343222486283</v>
      </c>
      <c r="P70" s="32" t="n">
        <f aca="false">2*PI()*(0.993133+99.997361*K70 - INT(0.993133+99.997361*K70))</f>
        <v>5.72303286771072</v>
      </c>
      <c r="Q70" s="32" t="n">
        <f aca="false">2*PI()*(0.827361+1236.853086*K70 - INT(0.827361+1236.853086*K70))</f>
        <v>1.84297692054306</v>
      </c>
      <c r="R70" s="32" t="n">
        <f aca="false">2*PI()*(0.259086+1342.227825*K70 - INT(0.259086+1342.227825*K70))</f>
        <v>5.49882133809298</v>
      </c>
      <c r="S70" s="32" t="n">
        <f aca="false">R70+(N70+412*SIN(2*R70)+541*SIN(P70))/206264.8062</f>
        <v>5.60231819725858</v>
      </c>
      <c r="T70" s="32" t="n">
        <f aca="false">R70-2*Q70</f>
        <v>1.81286749700686</v>
      </c>
      <c r="U70" s="24" t="n">
        <f aca="false">-526*SIN(T70)+44*SIN(O70+T70)-31*SIN(-O70+T70)-23*SIN(P70+T70)+11*SIN(-P70+T70)-25*SIN(-2*O70+R70)+21*SIN(-O70+R70)</f>
        <v>-548.936488543402</v>
      </c>
      <c r="V70" s="32" t="n">
        <f aca="false">2*PI()*(M70+N70/1296000-INT(M70+N70/1296000))</f>
        <v>0.0516077171796977</v>
      </c>
      <c r="W70" s="31" t="n">
        <f aca="false">V70/$E$6</f>
        <v>2.95690438470147</v>
      </c>
      <c r="X70" s="32" t="n">
        <f aca="false">(18520*SIN(S70)+U70)/206264.8062</f>
        <v>-0.0591795860982707</v>
      </c>
      <c r="Y70" s="32" t="n">
        <f aca="false">COS(X70)*COS(V70)</f>
        <v>0.996920347318482</v>
      </c>
      <c r="Z70" s="32" t="n">
        <f aca="false">COS(X70)*SIN(V70)</f>
        <v>0.0514945075310153</v>
      </c>
      <c r="AA70" s="32" t="n">
        <f aca="false">SIN(X70)</f>
        <v>-0.0591450487913816</v>
      </c>
      <c r="AB70" s="32" t="n">
        <f aca="false">COS($E$6*(23.4393-46.815*K70/3600))*Z70-SIN($E$6*(23.4393-46.815*K70/3600))*AA70</f>
        <v>0.0707700842109324</v>
      </c>
      <c r="AC70" s="32" t="n">
        <f aca="false">SIN($E$6*(23.4393-46.815*K70/3600))*Z70+COS($E$6*(23.4393-46.815*K70/3600))*AA70</f>
        <v>-0.0337848528659551</v>
      </c>
      <c r="AD70" s="32" t="n">
        <f aca="false">SQRT(1-AC70*AC70)</f>
        <v>0.999429128911513</v>
      </c>
      <c r="AE70" s="31" t="n">
        <f aca="false">ATAN(AC70/AD70)/$E$6</f>
        <v>-1.93609791548779</v>
      </c>
      <c r="AF70" s="32" t="n">
        <f aca="false">IF(24*ATAN(AB70/(Y70+AD70))/PI()&gt;0,24*ATAN(AB70/(Y70+AD70))/PI(),24*ATAN(AB70/(Y70+AD70))/PI()+24)</f>
        <v>0.270702761726791</v>
      </c>
      <c r="AG70" s="31" t="n">
        <f aca="false">IF(L70-15*AF70&gt;0,L70-15*AF70,360+L70-15*AF70)</f>
        <v>232.172064373199</v>
      </c>
      <c r="AH70" s="29" t="n">
        <f aca="false">0.950724+0.051818*COS(O70)+0.009531*COS(2*Q70-O70)+0.007843*COS(2*Q70)+0.002824*COS(2*O70)+0.000857*COS(2*Q70+O70)+0.000533*COS(2*Q70-P70)*(1-0.002495*(J70-2415020)/36525)+0.000401*COS(2*Q70-P70-O70)*(1-0.002495*(J70-2415020)/36525)+0.00032*COS(O70-P70)*(1-0.002495*(J70-2415020)/36525)-0.000271*COS(Q70)</f>
        <v>0.958874886845545</v>
      </c>
      <c r="AI70" s="32" t="n">
        <f aca="false">ASIN(COS($E$6*$E$2)*COS($E$6*AE70)*COS($E$6*AG70)+SIN($E$6*$E$2)*SIN($E$6*AE70))/$E$6</f>
        <v>-24.8265256501808</v>
      </c>
      <c r="AJ70" s="29" t="n">
        <f aca="false">ASIN((0.9983271+0.0016764*COS($E$6*2*$E$2))*COS($E$6*AI70)*SIN($E$6*AH70))/$E$6</f>
        <v>0.868542259595078</v>
      </c>
      <c r="AK70" s="29" t="n">
        <f aca="false">AI70-AJ70</f>
        <v>-25.6950679097759</v>
      </c>
      <c r="AL70" s="31" t="n">
        <f aca="false"> MOD(280.4664567 + 360007.6982779*K70/10 + 0.03032028*K70^2/100 + K70^3/49931000,360)</f>
        <v>251.238386777617</v>
      </c>
      <c r="AM70" s="29" t="n">
        <f aca="false"> AL70 + (1.9146 - 0.004817*K70 - 0.000014*K70^2)*SIN(P70)+ (0.019993 - 0.000101*K70)*SIN(2*P70)+ 0.00029*SIN(3*P70)</f>
        <v>250.203451581464</v>
      </c>
      <c r="AN70" s="29" t="n">
        <f aca="false">ACOS(COS(V70-$E$6*AM70)*COS(X70))/$E$6</f>
        <v>112.711392034293</v>
      </c>
      <c r="AO70" s="24" t="n">
        <f aca="false">180 - AN70 -0.1468*(1-0.0549*SIN(P70))*SIN($E$6*AN70)/(1-0.0167*SIN($E$6*AM70))</f>
        <v>67.1513966324362</v>
      </c>
      <c r="AP70" s="48" t="n">
        <f aca="false">SIN($E$6*AG70)</f>
        <v>-0.789856084193739</v>
      </c>
      <c r="AQ70" s="48" t="n">
        <f aca="false">COS($E$6*AG70)*SIN($E$6*$E$2) - TAN($E$6*AE70)*COS($E$6*$E$2)</f>
        <v>-0.448080219886738</v>
      </c>
      <c r="AR70" s="48" t="n">
        <f aca="false">IF(OR(AND(AP70*AQ70&gt;0), AND(AP70&lt;0,AQ70&gt;0)), MOD(ATAN2(AQ70,AP70)/$E$6+360,360),  ATAN2(AQ70,AP70)/$E$6)</f>
        <v>240.43403981551</v>
      </c>
      <c r="AS70" s="20" t="n">
        <f aca="false"> 385000.56 + (-20905355*COS(O70) - 3699111*COS(2*Q70-O70) - 2955968*COS(2*Q70) - 569925*COS(2*O70) + (1-0.002516*K70)*48888*COS(P70) - 3149*COS(2*R70)  +246158*COS(2*Q70-2*O70) -(1-0.002516*K70)*152138*COS(2*Q70-P70-O70) -170733*COS(2*Q70+O70) -(1-0.002516*K70)*204586*COS(2*Q70-P70) -(1-0.002516*K70)*129620*COS(P70-O70)  + 108743*COS(Q70) +(1-0.002516*K70)*104755*COS(P70+O70) +10321*COS(2*Q70-2*R70) +79661*COS(O70-2*R70) -34782*COS(4*Q70-O70) -23210*COS(3*O70)  -21636*COS(4*Q70-2*O70) +(1-0.002516*K70)*24208*COS(2*Q70+P70-O70) +(1-0.002516*K70)*30824*COS(2*Q70+P70) -8379*COS(Q70-O70) -(1-0.002516*K70)*16675*COS(Q70+P70)  -(1-0.002516*K70)*12831*COS(2*Q70-P70+O70) -10445*COS(2*Q70+2*O70) -11650*COS(4*Q70) +14403*COS(2*Q70-3*O70) -(1-0.002516*K70)*7003*COS(P70-2*O70)  + (1-0.002516*K70)*10056*COS(2*Q70-P70-2*O70) +6322*COS(Q70+O70) -(1-0.002516*K70)*(1-0.002516*K70)*9884*COS(2*Q70-2*P70) +(1-0.002516*K70)*5751*COS(P70+2*O70) -(1-0.002516*K70)*(1-0.002516*K70)*4950*COS(2*Q70-2*P70-O70)  +4130*COS(2*Q70+O70-2*R70) -(1-0.002516*K70)*3958*COS(4*Q70-P70-O70) +3258*COS(3*Q70-O70) +(1-0.002516*K70)*2616*COS(2*Q70+P70+O70) -(1-0.002516*K70)*1897*COS(4*Q70-P70-2*O70)  -(1-0.002516*K70)*(1-0.002516*K70)*2117*COS(2*P70-O70) +(1-0.002516*K70)*(1-0.002516*K70)*2354*COS(2*Q70+2*P70-O70) -1423*COS(4*Q70+O70) -1117*COS(4*O70) -(1-0.002516*K70)*1571*COS(4*Q70-P70)  -1739*COS(Q70-2*O70) -4421*COS(2*O70-2*R70) +(1-0.002516*K70)*(1-0.002516*K70)*1165*COS(2*P70+O70) +8752*COS(2*Q70-O70-2*R70))/1000</f>
        <v>381083.517966167</v>
      </c>
      <c r="AT70" s="24" t="n">
        <f aca="false">60*ATAN(3476/AS70)/$E$6</f>
        <v>31.3560566887114</v>
      </c>
      <c r="AU70" s="28" t="n">
        <f aca="false">ATAN(0.99664719*TAN($E$6*input!$D$2))</f>
        <v>0.871010436227447</v>
      </c>
      <c r="AV70" s="28" t="n">
        <f aca="false">COS(AU70)</f>
        <v>0.644053912545846</v>
      </c>
      <c r="AW70" s="28" t="n">
        <f aca="false">0.99664719*SIN(AU70)</f>
        <v>0.762415269897027</v>
      </c>
      <c r="AX70" s="28" t="n">
        <f aca="false">6378.14/AS70</f>
        <v>0.0167368560940131</v>
      </c>
      <c r="AY70" s="31" t="n">
        <f aca="false">L70-15*AF70</f>
        <v>232.172064373199</v>
      </c>
      <c r="AZ70" s="29" t="n">
        <f aca="false">COS($E$6*AE70)*SIN($E$6*AY70)</f>
        <v>-0.789405178191208</v>
      </c>
      <c r="BA70" s="29" t="n">
        <f aca="false">COS($E$6*AE70)*COS($E$6*AY70)-AV70*AX70</f>
        <v>-0.623721562457098</v>
      </c>
      <c r="BB70" s="29" t="n">
        <f aca="false">SIN($E$6*AE70)-AW70*AX70</f>
        <v>-0.0465452875220998</v>
      </c>
      <c r="BC70" s="45" t="n">
        <f aca="false">SQRT(AZ70^2+BA70^2+BB70^2)</f>
        <v>1.0071522162114</v>
      </c>
      <c r="BD70" s="20" t="n">
        <f aca="false">AS70*BC70</f>
        <v>383809.109681262</v>
      </c>
      <c r="BE70" s="30" t="str">
        <f aca="false">IF(OR(AND(BD70&gt;BD69,BD70&gt;BD71),AND(BD70&lt;BD69,BD70&lt;BD71)),BD70,"")</f>
        <v/>
      </c>
    </row>
    <row r="71" customFormat="false" ht="15" hidden="false" customHeight="false" outlineLevel="0" collapsed="false">
      <c r="A71" s="31" t="n">
        <v>34.5</v>
      </c>
      <c r="F71" s="38" t="n">
        <f aca="false">AK71</f>
        <v>-21.4305250693985</v>
      </c>
      <c r="G71" s="39" t="n">
        <f aca="false">F71+1.02/(TAN($E$6*(F71+10.3/(F71+5.11)))*60)</f>
        <v>-21.4724715802316</v>
      </c>
      <c r="H71" s="38" t="n">
        <f aca="false">100*(1+COS($E$6*AO71))/2</f>
        <v>69.6208627283604</v>
      </c>
      <c r="I71" s="38" t="n">
        <f aca="false">IF(AG71&gt;180, AR71-180,AR71+180)</f>
        <v>66.7975904624967</v>
      </c>
      <c r="J71" s="31" t="n">
        <f aca="false">J70+0.5/24</f>
        <v>2459915.9375</v>
      </c>
      <c r="K71" s="47" t="n">
        <f aca="false">(J71-2451545)/36525</f>
        <v>0.229183778234176</v>
      </c>
      <c r="L71" s="31" t="n">
        <f aca="false">MOD(280.46061837+360.98564736629*(J71-2451545)+0.000387933*K71^2-K71^3/38710000+$E$4,360)</f>
        <v>243.753140175715</v>
      </c>
      <c r="M71" s="28" t="n">
        <f aca="false">0.606433+1336.855225*K71 - INT(0.606433+1336.855225*K71)</f>
        <v>0.991964417598751</v>
      </c>
      <c r="N71" s="31" t="n">
        <f aca="false">22640*SIN(O71)-4586*SIN(O71-2*Q71)+2370*SIN(2*Q71)+769*SIN(2*O71)-668*SIN(P71)-412*SIN(2*R71)-212*SIN(2*O71-2*Q71)-206*SIN(O71+P71-2*Q71)+192*SIN(O71+2*Q71)-165*SIN(P71-2*Q71)-125*SIN(Q71)-110*SIN(O71+P71)+148*SIN(O71-P71)-55*SIN(2*R71-2*Q71)</f>
        <v>22059.1037533465</v>
      </c>
      <c r="O71" s="29" t="n">
        <f aca="false">2*PI()*(0.374897+1325.55241*K71 - INT(0.374897+1325.55241*K71))</f>
        <v>1.06818279039366</v>
      </c>
      <c r="P71" s="32" t="n">
        <f aca="false">2*PI()*(0.993133+99.997361*K71 - INT(0.993133+99.997361*K71))</f>
        <v>5.72339124208562</v>
      </c>
      <c r="Q71" s="32" t="n">
        <f aca="false">2*PI()*(0.827361+1236.853086*K71 - INT(0.827361+1236.853086*K71))</f>
        <v>1.84740960203704</v>
      </c>
      <c r="R71" s="32" t="n">
        <f aca="false">2*PI()*(0.259086+1342.227825*K71 - INT(0.259086+1342.227825*K71))</f>
        <v>5.50363166561493</v>
      </c>
      <c r="S71" s="32" t="n">
        <f aca="false">R71+(N71+412*SIN(2*R71)+541*SIN(P71))/206264.8062</f>
        <v>5.60718716283941</v>
      </c>
      <c r="T71" s="32" t="n">
        <f aca="false">R71-2*Q71</f>
        <v>1.80881246154085</v>
      </c>
      <c r="U71" s="24" t="n">
        <f aca="false">-526*SIN(T71)+44*SIN(O71+T71)-31*SIN(-O71+T71)-23*SIN(P71+T71)+11*SIN(-P71+T71)-25*SIN(-2*O71+R71)+21*SIN(-O71+R71)</f>
        <v>-549.32548025117</v>
      </c>
      <c r="V71" s="32" t="n">
        <f aca="false">2*PI()*(M71+N71/1296000-INT(M71+N71/1296000))</f>
        <v>0.0564564996482157</v>
      </c>
      <c r="W71" s="31" t="n">
        <f aca="false">V71/$E$6</f>
        <v>3.23471915592457</v>
      </c>
      <c r="X71" s="32" t="n">
        <f aca="false">(18520*SIN(S71)+U71)/206264.8062</f>
        <v>-0.0588411086916617</v>
      </c>
      <c r="Y71" s="32" t="n">
        <f aca="false">COS(X71)*COS(V71)</f>
        <v>0.996678873785818</v>
      </c>
      <c r="Z71" s="32" t="n">
        <f aca="false">COS(X71)*SIN(V71)</f>
        <v>0.0563288595484073</v>
      </c>
      <c r="AA71" s="32" t="n">
        <f aca="false">SIN(X71)</f>
        <v>-0.0588071605419751</v>
      </c>
      <c r="AB71" s="32" t="n">
        <f aca="false">COS($E$6*(23.4393-46.815*K71/3600))*Z71-SIN($E$6*(23.4393-46.815*K71/3600))*AA71</f>
        <v>0.0750712270387732</v>
      </c>
      <c r="AC71" s="32" t="n">
        <f aca="false">SIN($E$6*(23.4393-46.815*K71/3600))*Z71+COS($E$6*(23.4393-46.815*K71/3600))*AA71</f>
        <v>-0.0315520747325242</v>
      </c>
      <c r="AD71" s="32" t="n">
        <f aca="false">SQRT(1-AC71*AC71)</f>
        <v>0.999502109342483</v>
      </c>
      <c r="AE71" s="31" t="n">
        <f aca="false">ATAN(AC71/AD71)/$E$6</f>
        <v>-1.80810080584964</v>
      </c>
      <c r="AF71" s="32" t="n">
        <f aca="false">IF(24*ATAN(AB71/(Y71+AD71))/PI()&gt;0,24*ATAN(AB71/(Y71+AD71))/PI(),24*ATAN(AB71/(Y71+AD71))/PI()+24)</f>
        <v>0.287164236220935</v>
      </c>
      <c r="AG71" s="31" t="n">
        <f aca="false">IF(L71-15*AF71&gt;0,L71-15*AF71,360+L71-15*AF71)</f>
        <v>239.445676632401</v>
      </c>
      <c r="AH71" s="29" t="n">
        <f aca="false">0.950724+0.051818*COS(O71)+0.009531*COS(2*Q71-O71)+0.007843*COS(2*Q71)+0.002824*COS(2*O71)+0.000857*COS(2*Q71+O71)+0.000533*COS(2*Q71-P71)*(1-0.002495*(J71-2415020)/36525)+0.000401*COS(2*Q71-P71-O71)*(1-0.002495*(J71-2415020)/36525)+0.00032*COS(O71-P71)*(1-0.002495*(J71-2415020)/36525)-0.000271*COS(Q71)</f>
        <v>0.958669139486084</v>
      </c>
      <c r="AI71" s="32" t="n">
        <f aca="false">ASIN(COS($E$6*$E$2)*COS($E$6*AE71)*COS($E$6*AG71)+SIN($E$6*$E$2)*SIN($E$6*AE71))/$E$6</f>
        <v>-20.5345373725372</v>
      </c>
      <c r="AJ71" s="29" t="n">
        <f aca="false">ASIN((0.9983271+0.0016764*COS($E$6*2*$E$2))*COS($E$6*AI71)*SIN($E$6*AH71))/$E$6</f>
        <v>0.895987696861291</v>
      </c>
      <c r="AK71" s="29" t="n">
        <f aca="false">AI71-AJ71</f>
        <v>-21.4305250693985</v>
      </c>
      <c r="AL71" s="31" t="n">
        <f aca="false"> MOD(280.4664567 + 360007.6982779*K71/10 + 0.03032028*K71^2/100 + K71^3/49931000,360)</f>
        <v>251.258921097851</v>
      </c>
      <c r="AM71" s="29" t="n">
        <f aca="false"> AL71 + (1.9146 - 0.004817*K71 - 0.000014*K71^2)*SIN(P71)+ (0.019993 - 0.000101*K71)*SIN(2*P71)+ 0.00029*SIN(3*P71)</f>
        <v>250.224573118992</v>
      </c>
      <c r="AN71" s="29" t="n">
        <f aca="false">ACOS(COS(V71-$E$6*AM71)*COS(X71))/$E$6</f>
        <v>112.968041682283</v>
      </c>
      <c r="AO71" s="24" t="n">
        <f aca="false">180 - AN71 -0.1468*(1-0.0549*SIN(P71))*SIN($E$6*AN71)/(1-0.0167*SIN($E$6*AM71))</f>
        <v>66.8950081049069</v>
      </c>
      <c r="AP71" s="48" t="n">
        <f aca="false">SIN($E$6*AG71)</f>
        <v>-0.861147565141882</v>
      </c>
      <c r="AQ71" s="48" t="n">
        <f aca="false">COS($E$6*AG71)*SIN($E$6*$E$2) - TAN($E$6*AE71)*COS($E$6*$E$2)</f>
        <v>-0.36913118628598</v>
      </c>
      <c r="AR71" s="48" t="n">
        <f aca="false">IF(OR(AND(AP71*AQ71&gt;0), AND(AP71&lt;0,AQ71&gt;0)), MOD(ATAN2(AQ71,AP71)/$E$6+360,360),  ATAN2(AQ71,AP71)/$E$6)</f>
        <v>246.797590462497</v>
      </c>
      <c r="AS71" s="20" t="n">
        <f aca="false"> 385000.56 + (-20905355*COS(O71) - 3699111*COS(2*Q71-O71) - 2955968*COS(2*Q71) - 569925*COS(2*O71) + (1-0.002516*K71)*48888*COS(P71) - 3149*COS(2*R71)  +246158*COS(2*Q71-2*O71) -(1-0.002516*K71)*152138*COS(2*Q71-P71-O71) -170733*COS(2*Q71+O71) -(1-0.002516*K71)*204586*COS(2*Q71-P71) -(1-0.002516*K71)*129620*COS(P71-O71)  + 108743*COS(Q71) +(1-0.002516*K71)*104755*COS(P71+O71) +10321*COS(2*Q71-2*R71) +79661*COS(O71-2*R71) -34782*COS(4*Q71-O71) -23210*COS(3*O71)  -21636*COS(4*Q71-2*O71) +(1-0.002516*K71)*24208*COS(2*Q71+P71-O71) +(1-0.002516*K71)*30824*COS(2*Q71+P71) -8379*COS(Q71-O71) -(1-0.002516*K71)*16675*COS(Q71+P71)  -(1-0.002516*K71)*12831*COS(2*Q71-P71+O71) -10445*COS(2*Q71+2*O71) -11650*COS(4*Q71) +14403*COS(2*Q71-3*O71) -(1-0.002516*K71)*7003*COS(P71-2*O71)  + (1-0.002516*K71)*10056*COS(2*Q71-P71-2*O71) +6322*COS(Q71+O71) -(1-0.002516*K71)*(1-0.002516*K71)*9884*COS(2*Q71-2*P71) +(1-0.002516*K71)*5751*COS(P71+2*O71) -(1-0.002516*K71)*(1-0.002516*K71)*4950*COS(2*Q71-2*P71-O71)  +4130*COS(2*Q71+O71-2*R71) -(1-0.002516*K71)*3958*COS(4*Q71-P71-O71) +3258*COS(3*Q71-O71) +(1-0.002516*K71)*2616*COS(2*Q71+P71+O71) -(1-0.002516*K71)*1897*COS(4*Q71-P71-2*O71)  -(1-0.002516*K71)*(1-0.002516*K71)*2117*COS(2*P71-O71) +(1-0.002516*K71)*(1-0.002516*K71)*2354*COS(2*Q71+2*P71-O71) -1423*COS(4*Q71+O71) -1117*COS(4*O71) -(1-0.002516*K71)*1571*COS(4*Q71-P71)  -1739*COS(Q71-2*O71) -4421*COS(2*O71-2*R71) +(1-0.002516*K71)*(1-0.002516*K71)*1165*COS(2*P71+O71) +8752*COS(2*Q71-O71-2*R71))/1000</f>
        <v>381164.894493874</v>
      </c>
      <c r="AT71" s="24" t="n">
        <f aca="false">60*ATAN(3476/AS71)/$E$6</f>
        <v>31.3493627208821</v>
      </c>
      <c r="AU71" s="28" t="n">
        <f aca="false">ATAN(0.99664719*TAN($E$6*input!$D$2))</f>
        <v>0.871010436227447</v>
      </c>
      <c r="AV71" s="28" t="n">
        <f aca="false">COS(AU71)</f>
        <v>0.644053912545846</v>
      </c>
      <c r="AW71" s="28" t="n">
        <f aca="false">0.99664719*SIN(AU71)</f>
        <v>0.762415269897027</v>
      </c>
      <c r="AX71" s="28" t="n">
        <f aca="false">6378.14/AS71</f>
        <v>0.0167332828708403</v>
      </c>
      <c r="AY71" s="31" t="n">
        <f aca="false">L71-15*AF71</f>
        <v>239.445676632401</v>
      </c>
      <c r="AZ71" s="29" t="n">
        <f aca="false">COS($E$6*AE71)*SIN($E$6*AY71)</f>
        <v>-0.860718807814454</v>
      </c>
      <c r="BA71" s="29" t="n">
        <f aca="false">COS($E$6*AE71)*COS($E$6*AY71)-AV71*AX71</f>
        <v>-0.518879095022148</v>
      </c>
      <c r="BB71" s="29" t="n">
        <f aca="false">SIN($E$6*AE71)-AW71*AX71</f>
        <v>-0.0443097851087593</v>
      </c>
      <c r="BC71" s="45" t="n">
        <f aca="false">SQRT(AZ71^2+BA71^2+BB71^2)</f>
        <v>1.00599986999647</v>
      </c>
      <c r="BD71" s="20" t="n">
        <f aca="false">AS71*BC71</f>
        <v>383451.834308056</v>
      </c>
      <c r="BE71" s="30" t="str">
        <f aca="false">IF(OR(AND(BD71&gt;BD70,BD71&gt;BD72),AND(BD71&lt;BD70,BD71&lt;BD72)),BD71,"")</f>
        <v/>
      </c>
    </row>
    <row r="72" customFormat="false" ht="15" hidden="false" customHeight="false" outlineLevel="0" collapsed="false">
      <c r="A72" s="31" t="n">
        <v>35</v>
      </c>
      <c r="F72" s="38" t="n">
        <f aca="false">AK72</f>
        <v>-16.9649162489538</v>
      </c>
      <c r="G72" s="39" t="n">
        <f aca="false">F72+1.02/(TAN($E$6*(F72+10.3/(F72+5.11)))*60)</f>
        <v>-17.0177580750802</v>
      </c>
      <c r="H72" s="38" t="n">
        <f aca="false">100*(1+COS($E$6*AO72))/2</f>
        <v>69.8263677712553</v>
      </c>
      <c r="I72" s="38" t="n">
        <f aca="false">IF(AG72&gt;180, AR72-180,AR72+180)</f>
        <v>72.8247915738335</v>
      </c>
      <c r="J72" s="31" t="n">
        <f aca="false">J71+0.5/24</f>
        <v>2459915.95833334</v>
      </c>
      <c r="K72" s="47" t="n">
        <f aca="false">(J72-2451545)/36525</f>
        <v>0.22918434861976</v>
      </c>
      <c r="L72" s="31" t="n">
        <f aca="false">MOD(280.46061837+360.98564736629*(J72-2451545)+0.000387933*K72^2-K72^3/38710000+$E$4,360)</f>
        <v>251.273674551863</v>
      </c>
      <c r="M72" s="28" t="n">
        <f aca="false">0.606433+1336.855225*K72 - INT(0.606433+1336.855225*K72)</f>
        <v>0.992726940548209</v>
      </c>
      <c r="N72" s="31" t="n">
        <f aca="false">22640*SIN(O72)-4586*SIN(O72-2*Q72)+2370*SIN(2*Q72)+769*SIN(2*O72)-668*SIN(P72)-412*SIN(2*R72)-212*SIN(2*O72-2*Q72)-206*SIN(O72+P72-2*Q72)+192*SIN(O72+2*Q72)-165*SIN(P72-2*Q72)-125*SIN(Q72)-110*SIN(O72+P72)+148*SIN(O72-P72)-55*SIN(2*R72-2*Q72)</f>
        <v>22070.5695284406</v>
      </c>
      <c r="O72" s="29" t="n">
        <f aca="false">2*PI()*(0.374897+1325.55241*K72 - INT(0.374897+1325.55241*K72))</f>
        <v>1.0729333559245</v>
      </c>
      <c r="P72" s="32" t="n">
        <f aca="false">2*PI()*(0.993133+99.997361*K72 - INT(0.993133+99.997361*K72))</f>
        <v>5.72374961646051</v>
      </c>
      <c r="Q72" s="32" t="n">
        <f aca="false">2*PI()*(0.827361+1236.853086*K72 - INT(0.827361+1236.853086*K72))</f>
        <v>1.85184228353066</v>
      </c>
      <c r="R72" s="32" t="n">
        <f aca="false">2*PI()*(0.259086+1342.227825*K72 - INT(0.259086+1342.227825*K72))</f>
        <v>5.50844199313724</v>
      </c>
      <c r="S72" s="32" t="n">
        <f aca="false">R72+(N72+412*SIN(2*R72)+541*SIN(P72))/206264.8062</f>
        <v>5.61205419163197</v>
      </c>
      <c r="T72" s="32" t="n">
        <f aca="false">R72-2*Q72</f>
        <v>1.80475742607592</v>
      </c>
      <c r="U72" s="24" t="n">
        <f aca="false">-526*SIN(T72)+44*SIN(O72+T72)-31*SIN(-O72+T72)-23*SIN(P72+T72)+11*SIN(-P72+T72)-25*SIN(-2*O72+R72)+21*SIN(-O72+R72)</f>
        <v>-549.704424764767</v>
      </c>
      <c r="V72" s="32" t="n">
        <f aca="false">2*PI()*(M72+N72/1296000-INT(M72+N72/1296000))</f>
        <v>0.0613031602869377</v>
      </c>
      <c r="W72" s="31" t="n">
        <f aca="false">V72/$E$6</f>
        <v>3.51241235525553</v>
      </c>
      <c r="X72" s="32" t="n">
        <f aca="false">(18520*SIN(S72)+U72)/206264.8062</f>
        <v>-0.0585013869616944</v>
      </c>
      <c r="Y72" s="32" t="n">
        <f aca="false">COS(X72)*COS(V72)</f>
        <v>0.996414045003081</v>
      </c>
      <c r="Z72" s="32" t="n">
        <f aca="false">COS(X72)*SIN(V72)</f>
        <v>0.061159963741854</v>
      </c>
      <c r="AA72" s="32" t="n">
        <f aca="false">SIN(X72)</f>
        <v>-0.058468023360585</v>
      </c>
      <c r="AB72" s="32" t="n">
        <f aca="false">COS($E$6*(23.4393-46.815*K72/3600))*Z72-SIN($E$6*(23.4393-46.815*K72/3600))*AA72</f>
        <v>0.0793688932428001</v>
      </c>
      <c r="AC72" s="32" t="n">
        <f aca="false">SIN($E$6*(23.4393-46.815*K72/3600))*Z72+COS($E$6*(23.4393-46.815*K72/3600))*AA72</f>
        <v>-0.0293194424573834</v>
      </c>
      <c r="AD72" s="32" t="n">
        <f aca="false">SQRT(1-AC72*AC72)</f>
        <v>0.999570092736867</v>
      </c>
      <c r="AE72" s="31" t="n">
        <f aca="false">ATAN(AC72/AD72)/$E$6</f>
        <v>-1.68012108280472</v>
      </c>
      <c r="AF72" s="32" t="n">
        <f aca="false">IF(24*ATAN(AB72/(Y72+AD72))/PI()&gt;0,24*ATAN(AB72/(Y72+AD72))/PI(),24*ATAN(AB72/(Y72+AD72))/PI()+24)</f>
        <v>0.303616844618291</v>
      </c>
      <c r="AG72" s="31" t="n">
        <f aca="false">IF(L72-15*AF72&gt;0,L72-15*AF72,360+L72-15*AF72)</f>
        <v>246.719421882589</v>
      </c>
      <c r="AH72" s="29" t="n">
        <f aca="false">0.950724+0.051818*COS(O72)+0.009531*COS(2*Q72-O72)+0.007843*COS(2*Q72)+0.002824*COS(2*O72)+0.000857*COS(2*Q72+O72)+0.000533*COS(2*Q72-P72)*(1-0.002495*(J72-2415020)/36525)+0.000401*COS(2*Q72-P72-O72)*(1-0.002495*(J72-2415020)/36525)+0.00032*COS(O72-P72)*(1-0.002495*(J72-2415020)/36525)-0.000271*COS(Q72)</f>
        <v>0.958463643811929</v>
      </c>
      <c r="AI72" s="32" t="n">
        <f aca="false">ASIN(COS($E$6*$E$2)*COS($E$6*AE72)*COS($E$6*AG72)+SIN($E$6*$E$2)*SIN($E$6*AE72))/$E$6</f>
        <v>-16.0456049576576</v>
      </c>
      <c r="AJ72" s="29" t="n">
        <f aca="false">ASIN((0.9983271+0.0016764*COS($E$6*2*$E$2))*COS($E$6*AI72)*SIN($E$6*AH72))/$E$6</f>
        <v>0.919311291296264</v>
      </c>
      <c r="AK72" s="29" t="n">
        <f aca="false">AI72-AJ72</f>
        <v>-16.9649162489538</v>
      </c>
      <c r="AL72" s="31" t="n">
        <f aca="false"> MOD(280.4664567 + 360007.6982779*K72/10 + 0.03032028*K72^2/100 + K72^3/49931000,360)</f>
        <v>251.279455418086</v>
      </c>
      <c r="AM72" s="29" t="n">
        <f aca="false"> AL72 + (1.9146 - 0.004817*K72 - 0.000014*K72^2)*SIN(P72)+ (0.019993 - 0.000101*K72)*SIN(2*P72)+ 0.00029*SIN(3*P72)</f>
        <v>250.245694796583</v>
      </c>
      <c r="AN72" s="29" t="n">
        <f aca="false">ACOS(COS(V72-$E$6*AM72)*COS(X72))/$E$6</f>
        <v>113.22457893881</v>
      </c>
      <c r="AO72" s="24" t="n">
        <f aca="false">180 - AN72 -0.1468*(1-0.0549*SIN(P72))*SIN($E$6*AN72)/(1-0.0167*SIN($E$6*AM72))</f>
        <v>66.6387345923796</v>
      </c>
      <c r="AP72" s="48" t="n">
        <f aca="false">SIN($E$6*AG72)</f>
        <v>-0.918580408926087</v>
      </c>
      <c r="AQ72" s="48" t="n">
        <f aca="false">COS($E$6*AG72)*SIN($E$6*$E$2) - TAN($E$6*AE72)*COS($E$6*$E$2)</f>
        <v>-0.283912643453467</v>
      </c>
      <c r="AR72" s="48" t="n">
        <f aca="false">IF(OR(AND(AP72*AQ72&gt;0), AND(AP72&lt;0,AQ72&gt;0)), MOD(ATAN2(AQ72,AP72)/$E$6+360,360),  ATAN2(AQ72,AP72)/$E$6)</f>
        <v>252.824791573833</v>
      </c>
      <c r="AS72" s="20" t="n">
        <f aca="false"> 385000.56 + (-20905355*COS(O72) - 3699111*COS(2*Q72-O72) - 2955968*COS(2*Q72) - 569925*COS(2*O72) + (1-0.002516*K72)*48888*COS(P72) - 3149*COS(2*R72)  +246158*COS(2*Q72-2*O72) -(1-0.002516*K72)*152138*COS(2*Q72-P72-O72) -170733*COS(2*Q72+O72) -(1-0.002516*K72)*204586*COS(2*Q72-P72) -(1-0.002516*K72)*129620*COS(P72-O72)  + 108743*COS(Q72) +(1-0.002516*K72)*104755*COS(P72+O72) +10321*COS(2*Q72-2*R72) +79661*COS(O72-2*R72) -34782*COS(4*Q72-O72) -23210*COS(3*O72)  -21636*COS(4*Q72-2*O72) +(1-0.002516*K72)*24208*COS(2*Q72+P72-O72) +(1-0.002516*K72)*30824*COS(2*Q72+P72) -8379*COS(Q72-O72) -(1-0.002516*K72)*16675*COS(Q72+P72)  -(1-0.002516*K72)*12831*COS(2*Q72-P72+O72) -10445*COS(2*Q72+2*O72) -11650*COS(4*Q72) +14403*COS(2*Q72-3*O72) -(1-0.002516*K72)*7003*COS(P72-2*O72)  + (1-0.002516*K72)*10056*COS(2*Q72-P72-2*O72) +6322*COS(Q72+O72) -(1-0.002516*K72)*(1-0.002516*K72)*9884*COS(2*Q72-2*P72) +(1-0.002516*K72)*5751*COS(P72+2*O72) -(1-0.002516*K72)*(1-0.002516*K72)*4950*COS(2*Q72-2*P72-O72)  +4130*COS(2*Q72+O72-2*R72) -(1-0.002516*K72)*3958*COS(4*Q72-P72-O72) +3258*COS(3*Q72-O72) +(1-0.002516*K72)*2616*COS(2*Q72+P72+O72) -(1-0.002516*K72)*1897*COS(4*Q72-P72-2*O72)  -(1-0.002516*K72)*(1-0.002516*K72)*2117*COS(2*P72-O72) +(1-0.002516*K72)*(1-0.002516*K72)*2354*COS(2*Q72+2*P72-O72) -1423*COS(4*Q72+O72) -1117*COS(4*O72) -(1-0.002516*K72)*1571*COS(4*Q72-P72)  -1739*COS(Q72-2*O72) -4421*COS(2*O72-2*R72) +(1-0.002516*K72)*(1-0.002516*K72)*1165*COS(2*P72+O72) +8752*COS(2*Q72-O72-2*R72))/1000</f>
        <v>381246.222128714</v>
      </c>
      <c r="AT72" s="24" t="n">
        <f aca="false">60*ATAN(3476/AS72)/$E$6</f>
        <v>31.3426756297666</v>
      </c>
      <c r="AU72" s="28" t="n">
        <f aca="false">ATAN(0.99664719*TAN($E$6*input!$D$2))</f>
        <v>0.871010436227447</v>
      </c>
      <c r="AV72" s="28" t="n">
        <f aca="false">COS(AU72)</f>
        <v>0.644053912545846</v>
      </c>
      <c r="AW72" s="28" t="n">
        <f aca="false">0.99664719*SIN(AU72)</f>
        <v>0.762415269897027</v>
      </c>
      <c r="AX72" s="28" t="n">
        <f aca="false">6378.14/AS72</f>
        <v>0.0167297133185668</v>
      </c>
      <c r="AY72" s="31" t="n">
        <f aca="false">L72-15*AF72</f>
        <v>246.719421882589</v>
      </c>
      <c r="AZ72" s="29" t="n">
        <f aca="false">COS($E$6*AE72)*SIN($E$6*AY72)</f>
        <v>-0.918185504536518</v>
      </c>
      <c r="BA72" s="29" t="n">
        <f aca="false">COS($E$6*AE72)*COS($E$6*AY72)-AV72*AX72</f>
        <v>-0.4058390720362</v>
      </c>
      <c r="BB72" s="29" t="n">
        <f aca="false">SIN($E$6*AE72)-AW72*AX72</f>
        <v>-0.0420744313524584</v>
      </c>
      <c r="BC72" s="45" t="n">
        <f aca="false">SQRT(AZ72^2+BA72^2+BB72^2)</f>
        <v>1.00475879240035</v>
      </c>
      <c r="BD72" s="20" t="n">
        <f aca="false">AS72*BC72</f>
        <v>383060.493753243</v>
      </c>
      <c r="BE72" s="30" t="str">
        <f aca="false">IF(OR(AND(BD72&gt;BD71,BD72&gt;BD73),AND(BD72&lt;BD71,BD72&lt;BD73)),BD72,"")</f>
        <v/>
      </c>
    </row>
    <row r="73" customFormat="false" ht="15" hidden="false" customHeight="false" outlineLevel="0" collapsed="false">
      <c r="A73" s="31" t="n">
        <v>35.5</v>
      </c>
      <c r="F73" s="38" t="n">
        <f aca="false">AK73</f>
        <v>-12.3535873196425</v>
      </c>
      <c r="G73" s="39" t="n">
        <f aca="false">F73+1.02/(TAN($E$6*(F73+10.3/(F73+5.11)))*60)</f>
        <v>-12.4229267226705</v>
      </c>
      <c r="H73" s="38" t="n">
        <f aca="false">100*(1+COS($E$6*AO73))/2</f>
        <v>70.0313843725982</v>
      </c>
      <c r="I73" s="38" t="n">
        <f aca="false">IF(AG73&gt;180, AR73-180,AR73+180)</f>
        <v>78.5999331385386</v>
      </c>
      <c r="J73" s="31" t="n">
        <f aca="false">J72+0.5/24</f>
        <v>2459915.97916667</v>
      </c>
      <c r="K73" s="47" t="n">
        <f aca="false">(J73-2451545)/36525</f>
        <v>0.229184919005345</v>
      </c>
      <c r="L73" s="31" t="n">
        <f aca="false">MOD(280.46061837+360.98564736629*(J73-2451545)+0.000387933*K73^2-K73^3/38710000+$E$4,360)</f>
        <v>258.794208928011</v>
      </c>
      <c r="M73" s="28" t="n">
        <f aca="false">0.606433+1336.855225*K73 - INT(0.606433+1336.855225*K73)</f>
        <v>0.993489463497667</v>
      </c>
      <c r="N73" s="31" t="n">
        <f aca="false">22640*SIN(O73)-4586*SIN(O73-2*Q73)+2370*SIN(2*Q73)+769*SIN(2*O73)-668*SIN(P73)-412*SIN(2*R73)-212*SIN(2*O73-2*Q73)-206*SIN(O73+P73-2*Q73)+192*SIN(O73+2*Q73)-165*SIN(P73-2*Q73)-125*SIN(Q73)-110*SIN(O73+P73)+148*SIN(O73-P73)-55*SIN(2*R73-2*Q73)</f>
        <v>22081.5985603898</v>
      </c>
      <c r="O73" s="29" t="n">
        <f aca="false">2*PI()*(0.374897+1325.55241*K73 - INT(0.374897+1325.55241*K73))</f>
        <v>1.07768392145498</v>
      </c>
      <c r="P73" s="32" t="n">
        <f aca="false">2*PI()*(0.993133+99.997361*K73 - INT(0.993133+99.997361*K73))</f>
        <v>5.72410799083541</v>
      </c>
      <c r="Q73" s="32" t="n">
        <f aca="false">2*PI()*(0.827361+1236.853086*K73 - INT(0.827361+1236.853086*K73))</f>
        <v>1.85627496502463</v>
      </c>
      <c r="R73" s="32" t="n">
        <f aca="false">2*PI()*(0.259086+1342.227825*K73 - INT(0.259086+1342.227825*K73))</f>
        <v>5.51325232065919</v>
      </c>
      <c r="S73" s="32" t="n">
        <f aca="false">R73+(N73+412*SIN(2*R73)+541*SIN(P73))/206264.8062</f>
        <v>5.61691928804538</v>
      </c>
      <c r="T73" s="32" t="n">
        <f aca="false">R73-2*Q73</f>
        <v>1.80070239060992</v>
      </c>
      <c r="U73" s="24" t="n">
        <f aca="false">-526*SIN(T73)+44*SIN(O73+T73)-31*SIN(-O73+T73)-23*SIN(P73+T73)+11*SIN(-P73+T73)-25*SIN(-2*O73+R73)+21*SIN(-O73+R73)</f>
        <v>-550.073328082488</v>
      </c>
      <c r="V73" s="32" t="n">
        <f aca="false">2*PI()*(M73+N73/1296000-INT(M73+N73/1296000))</f>
        <v>0.0661477035351419</v>
      </c>
      <c r="W73" s="31" t="n">
        <f aca="false">V73/$E$6</f>
        <v>3.78998423704623</v>
      </c>
      <c r="X73" s="32" t="n">
        <f aca="false">(18520*SIN(S73)+U73)/206264.8062</f>
        <v>-0.0581604303008824</v>
      </c>
      <c r="Y73" s="32" t="n">
        <f aca="false">COS(X73)*COS(V73)</f>
        <v>0.996125894941362</v>
      </c>
      <c r="Z73" s="32" t="n">
        <f aca="false">COS(X73)*SIN(V73)</f>
        <v>0.0659877119571472</v>
      </c>
      <c r="AA73" s="32" t="n">
        <f aca="false">SIN(X73)</f>
        <v>-0.0581276465886218</v>
      </c>
      <c r="AB73" s="32" t="n">
        <f aca="false">COS($E$6*(23.4393-46.815*K73/3600))*Z73-SIN($E$6*(23.4393-46.815*K73/3600))*AA73</f>
        <v>0.0836629873065911</v>
      </c>
      <c r="AC73" s="32" t="n">
        <f aca="false">SIN($E$6*(23.4393-46.815*K73/3600))*Z73+COS($E$6*(23.4393-46.815*K73/3600))*AA73</f>
        <v>-0.0270870076274277</v>
      </c>
      <c r="AD73" s="32" t="n">
        <f aca="false">SQRT(1-AC73*AC73)</f>
        <v>0.99963307969364</v>
      </c>
      <c r="AE73" s="31" t="n">
        <f aca="false">ATAN(AC73/AD73)/$E$6</f>
        <v>-1.55216106113844</v>
      </c>
      <c r="AF73" s="32" t="n">
        <f aca="false">IF(24*ATAN(AB73/(Y73+AD73))/PI()&gt;0,24*ATAN(AB73/(Y73+AD73))/PI(),24*ATAN(AB73/(Y73+AD73))/PI()+24)</f>
        <v>0.32006076674087</v>
      </c>
      <c r="AG73" s="31" t="n">
        <f aca="false">IF(L73-15*AF73&gt;0,L73-15*AF73,360+L73-15*AF73)</f>
        <v>253.993297426898</v>
      </c>
      <c r="AH73" s="29" t="n">
        <f aca="false">0.950724+0.051818*COS(O73)+0.009531*COS(2*Q73-O73)+0.007843*COS(2*Q73)+0.002824*COS(2*O73)+0.000857*COS(2*Q73+O73)+0.000533*COS(2*Q73-P73)*(1-0.002495*(J73-2415020)/36525)+0.000401*COS(2*Q73-P73-O73)*(1-0.002495*(J73-2415020)/36525)+0.00032*COS(O73-P73)*(1-0.002495*(J73-2415020)/36525)-0.000271*COS(Q73)</f>
        <v>0.95825840171994</v>
      </c>
      <c r="AI73" s="32" t="n">
        <f aca="false">ASIN(COS($E$6*$E$2)*COS($E$6*AE73)*COS($E$6*AG73)+SIN($E$6*$E$2)*SIN($E$6*AE73))/$E$6</f>
        <v>-11.4161342694705</v>
      </c>
      <c r="AJ73" s="29" t="n">
        <f aca="false">ASIN((0.9983271+0.0016764*COS($E$6*2*$E$2))*COS($E$6*AI73)*SIN($E$6*AH73))/$E$6</f>
        <v>0.937453050172002</v>
      </c>
      <c r="AK73" s="29" t="n">
        <f aca="false">AI73-AJ73</f>
        <v>-12.3535873196425</v>
      </c>
      <c r="AL73" s="31" t="n">
        <f aca="false"> MOD(280.4664567 + 360007.6982779*K73/10 + 0.03032028*K73^2/100 + K73^3/49931000,360)</f>
        <v>251.29998973832</v>
      </c>
      <c r="AM73" s="29" t="n">
        <f aca="false"> AL73 + (1.9146 - 0.004817*K73 - 0.000014*K73^2)*SIN(P73)+ (0.019993 - 0.000101*K73)*SIN(2*P73)+ 0.00029*SIN(3*P73)</f>
        <v>250.266816614158</v>
      </c>
      <c r="AN73" s="29" t="n">
        <f aca="false">ACOS(COS(V73-$E$6*AM73)*COS(X73))/$E$6</f>
        <v>113.481004005803</v>
      </c>
      <c r="AO73" s="24" t="n">
        <f aca="false">180 - AN73 -0.1468*(1-0.0549*SIN(P73))*SIN($E$6*AN73)/(1-0.0167*SIN($E$6*AM73))</f>
        <v>66.3825758841482</v>
      </c>
      <c r="AP73" s="48" t="n">
        <f aca="false">SIN($E$6*AG73)</f>
        <v>-0.961229444760457</v>
      </c>
      <c r="AQ73" s="48" t="n">
        <f aca="false">COS($E$6*AG73)*SIN($E$6*$E$2) - TAN($E$6*AE73)*COS($E$6*$E$2)</f>
        <v>-0.193819021459726</v>
      </c>
      <c r="AR73" s="48" t="n">
        <f aca="false">IF(OR(AND(AP73*AQ73&gt;0), AND(AP73&lt;0,AQ73&gt;0)), MOD(ATAN2(AQ73,AP73)/$E$6+360,360),  ATAN2(AQ73,AP73)/$E$6)</f>
        <v>258.599933138539</v>
      </c>
      <c r="AS73" s="20" t="n">
        <f aca="false"> 385000.56 + (-20905355*COS(O73) - 3699111*COS(2*Q73-O73) - 2955968*COS(2*Q73) - 569925*COS(2*O73) + (1-0.002516*K73)*48888*COS(P73) - 3149*COS(2*R73)  +246158*COS(2*Q73-2*O73) -(1-0.002516*K73)*152138*COS(2*Q73-P73-O73) -170733*COS(2*Q73+O73) -(1-0.002516*K73)*204586*COS(2*Q73-P73) -(1-0.002516*K73)*129620*COS(P73-O73)  + 108743*COS(Q73) +(1-0.002516*K73)*104755*COS(P73+O73) +10321*COS(2*Q73-2*R73) +79661*COS(O73-2*R73) -34782*COS(4*Q73-O73) -23210*COS(3*O73)  -21636*COS(4*Q73-2*O73) +(1-0.002516*K73)*24208*COS(2*Q73+P73-O73) +(1-0.002516*K73)*30824*COS(2*Q73+P73) -8379*COS(Q73-O73) -(1-0.002516*K73)*16675*COS(Q73+P73)  -(1-0.002516*K73)*12831*COS(2*Q73-P73+O73) -10445*COS(2*Q73+2*O73) -11650*COS(4*Q73) +14403*COS(2*Q73-3*O73) -(1-0.002516*K73)*7003*COS(P73-2*O73)  + (1-0.002516*K73)*10056*COS(2*Q73-P73-2*O73) +6322*COS(Q73+O73) -(1-0.002516*K73)*(1-0.002516*K73)*9884*COS(2*Q73-2*P73) +(1-0.002516*K73)*5751*COS(P73+2*O73) -(1-0.002516*K73)*(1-0.002516*K73)*4950*COS(2*Q73-2*P73-O73)  +4130*COS(2*Q73+O73-2*R73) -(1-0.002516*K73)*3958*COS(4*Q73-P73-O73) +3258*COS(3*Q73-O73) +(1-0.002516*K73)*2616*COS(2*Q73+P73+O73) -(1-0.002516*K73)*1897*COS(4*Q73-P73-2*O73)  -(1-0.002516*K73)*(1-0.002516*K73)*2117*COS(2*P73-O73) +(1-0.002516*K73)*(1-0.002516*K73)*2354*COS(2*Q73+2*P73-O73) -1423*COS(4*Q73+O73) -1117*COS(4*O73) -(1-0.002516*K73)*1571*COS(4*Q73-P73)  -1739*COS(Q73-2*O73) -4421*COS(2*O73-2*R73) +(1-0.002516*K73)*(1-0.002516*K73)*1165*COS(2*P73+O73) +8752*COS(2*Q73-O73-2*R73))/1000</f>
        <v>381327.499991881</v>
      </c>
      <c r="AT73" s="24" t="n">
        <f aca="false">60*ATAN(3476/AS73)/$E$6</f>
        <v>31.3359954806061</v>
      </c>
      <c r="AU73" s="28" t="n">
        <f aca="false">ATAN(0.99664719*TAN($E$6*input!$D$2))</f>
        <v>0.871010436227447</v>
      </c>
      <c r="AV73" s="28" t="n">
        <f aca="false">COS(AU73)</f>
        <v>0.644053912545846</v>
      </c>
      <c r="AW73" s="28" t="n">
        <f aca="false">0.99664719*SIN(AU73)</f>
        <v>0.762415269897027</v>
      </c>
      <c r="AX73" s="28" t="n">
        <f aca="false">6378.14/AS73</f>
        <v>0.0167261474720176</v>
      </c>
      <c r="AY73" s="31" t="n">
        <f aca="false">L73-15*AF73</f>
        <v>253.993297426898</v>
      </c>
      <c r="AZ73" s="29" t="n">
        <f aca="false">COS($E$6*AE73)*SIN($E$6*AY73)</f>
        <v>-0.960876750158103</v>
      </c>
      <c r="BA73" s="29" t="n">
        <f aca="false">COS($E$6*AE73)*COS($E$6*AY73)-AV73*AX73</f>
        <v>-0.28642116673515</v>
      </c>
      <c r="BB73" s="29" t="n">
        <f aca="false">SIN($E$6*AE73)-AW73*AX73</f>
        <v>-0.0398392778666435</v>
      </c>
      <c r="BC73" s="45" t="n">
        <f aca="false">SQRT(AZ73^2+BA73^2+BB73^2)</f>
        <v>1.00344824570541</v>
      </c>
      <c r="BD73" s="20" t="n">
        <f aca="false">AS73*BC73</f>
        <v>382642.410906082</v>
      </c>
      <c r="BE73" s="49" t="str">
        <f aca="false">IF(OR(AND(BD73&gt;BD72,BD73&gt;BD74),AND(BD73&lt;BD72,BD73&lt;BD74)),BD73,"")</f>
        <v/>
      </c>
    </row>
    <row r="74" customFormat="false" ht="15" hidden="false" customHeight="false" outlineLevel="0" collapsed="false">
      <c r="A74" s="31" t="n">
        <v>36</v>
      </c>
      <c r="F74" s="38" t="n">
        <f aca="false">AK74</f>
        <v>-7.6456223005391</v>
      </c>
      <c r="G74" s="39" t="n">
        <f aca="false">F74+1.02/(TAN($E$6*(F74+10.3/(F74+5.11)))*60)</f>
        <v>-7.72765637601777</v>
      </c>
      <c r="H74" s="38" t="n">
        <f aca="false">100*(1+COS($E$6*AO74))/2</f>
        <v>70.2359091382317</v>
      </c>
      <c r="I74" s="38" t="n">
        <f aca="false">IF(AG74&gt;180, AR74-180,AR74+180)</f>
        <v>84.2043272059264</v>
      </c>
      <c r="J74" s="31" t="n">
        <f aca="false">J73+0.5/24</f>
        <v>2459916</v>
      </c>
      <c r="K74" s="47" t="n">
        <f aca="false">(J74-2451545)/36525</f>
        <v>0.22918548939093</v>
      </c>
      <c r="L74" s="31" t="n">
        <f aca="false">MOD(280.46061837+360.98564736629*(J74-2451545)+0.000387933*K74^2-K74^3/38710000+$E$4,360)</f>
        <v>266.31474330416</v>
      </c>
      <c r="M74" s="28" t="n">
        <f aca="false">0.606433+1336.855225*K74 - INT(0.606433+1336.855225*K74)</f>
        <v>0.994251986447068</v>
      </c>
      <c r="N74" s="31" t="n">
        <f aca="false">22640*SIN(O74)-4586*SIN(O74-2*Q74)+2370*SIN(2*Q74)+769*SIN(2*O74)-668*SIN(P74)-412*SIN(2*R74)-212*SIN(2*O74-2*Q74)-206*SIN(O74+P74-2*Q74)+192*SIN(O74+2*Q74)-165*SIN(P74-2*Q74)-125*SIN(Q74)-110*SIN(O74+P74)+148*SIN(O74-P74)-55*SIN(2*R74-2*Q74)</f>
        <v>22092.1917692585</v>
      </c>
      <c r="O74" s="29" t="n">
        <f aca="false">2*PI()*(0.374897+1325.55241*K74 - INT(0.374897+1325.55241*K74))</f>
        <v>1.08243448698582</v>
      </c>
      <c r="P74" s="32" t="n">
        <f aca="false">2*PI()*(0.993133+99.997361*K74 - INT(0.993133+99.997361*K74))</f>
        <v>5.72446636521031</v>
      </c>
      <c r="Q74" s="32" t="n">
        <f aca="false">2*PI()*(0.827361+1236.853086*K74 - INT(0.827361+1236.853086*K74))</f>
        <v>1.86070764651825</v>
      </c>
      <c r="R74" s="32" t="n">
        <f aca="false">2*PI()*(0.259086+1342.227825*K74 - INT(0.259086+1342.227825*K74))</f>
        <v>5.5180626481815</v>
      </c>
      <c r="S74" s="32" t="n">
        <f aca="false">R74+(N74+412*SIN(2*R74)+541*SIN(P74))/206264.8062</f>
        <v>5.6217824564944</v>
      </c>
      <c r="T74" s="32" t="n">
        <f aca="false">R74-2*Q74</f>
        <v>1.79664735514499</v>
      </c>
      <c r="U74" s="24" t="n">
        <f aca="false">-526*SIN(T74)+44*SIN(O74+T74)-31*SIN(-O74+T74)-23*SIN(P74+T74)+11*SIN(-P74+T74)-25*SIN(-2*O74+R74)+21*SIN(-O74+R74)</f>
        <v>-550.432196463871</v>
      </c>
      <c r="V74" s="32" t="n">
        <f aca="false">2*PI()*(M74+N74/1296000-INT(M74+N74/1296000))</f>
        <v>0.0709901338530698</v>
      </c>
      <c r="W74" s="31" t="n">
        <f aca="false">V74/$E$6</f>
        <v>4.06743505684969</v>
      </c>
      <c r="X74" s="32" t="n">
        <f aca="false">(18520*SIN(S74)+U74)/206264.8062</f>
        <v>-0.0578182481091909</v>
      </c>
      <c r="Y74" s="32" t="n">
        <f aca="false">COS(X74)*COS(V74)</f>
        <v>0.99581445802113</v>
      </c>
      <c r="Z74" s="32" t="n">
        <f aca="false">COS(X74)*SIN(V74)</f>
        <v>0.0708119963436507</v>
      </c>
      <c r="AA74" s="32" t="n">
        <f aca="false">SIN(X74)</f>
        <v>-0.0577860395762733</v>
      </c>
      <c r="AB74" s="32" t="n">
        <f aca="false">COS($E$6*(23.4393-46.815*K74/3600))*Z74-SIN($E$6*(23.4393-46.815*K74/3600))*AA74</f>
        <v>0.0879534139957436</v>
      </c>
      <c r="AC74" s="32" t="n">
        <f aca="false">SIN($E$6*(23.4393-46.815*K74/3600))*Z74+COS($E$6*(23.4393-46.815*K74/3600))*AA74</f>
        <v>-0.0248548217168655</v>
      </c>
      <c r="AD74" s="32" t="n">
        <f aca="false">SQRT(1-AC74*AC74)</f>
        <v>0.99969107120021</v>
      </c>
      <c r="AE74" s="31" t="n">
        <f aca="false">ATAN(AC74/AD74)/$E$6</f>
        <v>-1.42422304911964</v>
      </c>
      <c r="AF74" s="32" t="n">
        <f aca="false">IF(24*ATAN(AB74/(Y74+AD74))/PI()&gt;0,24*ATAN(AB74/(Y74+AD74))/PI(),24*ATAN(AB74/(Y74+AD74))/PI()+24)</f>
        <v>0.336496182102329</v>
      </c>
      <c r="AG74" s="31" t="n">
        <f aca="false">IF(L74-15*AF74&gt;0,L74-15*AF74,360+L74-15*AF74)</f>
        <v>261.267300572625</v>
      </c>
      <c r="AH74" s="29" t="n">
        <f aca="false">0.950724+0.051818*COS(O74)+0.009531*COS(2*Q74-O74)+0.007843*COS(2*Q74)+0.002824*COS(2*O74)+0.000857*COS(2*Q74+O74)+0.000533*COS(2*Q74-P74)*(1-0.002495*(J74-2415020)/36525)+0.000401*COS(2*Q74-P74-O74)*(1-0.002495*(J74-2415020)/36525)+0.00032*COS(O74-P74)*(1-0.002495*(J74-2415020)/36525)-0.000271*COS(Q74)</f>
        <v>0.958053415064261</v>
      </c>
      <c r="AI74" s="32" t="n">
        <f aca="false">ASIN(COS($E$6*$E$2)*COS($E$6*AE74)*COS($E$6*AG74)+SIN($E$6*$E$2)*SIN($E$6*AE74))/$E$6</f>
        <v>-6.69597347388427</v>
      </c>
      <c r="AJ74" s="29" t="n">
        <f aca="false">ASIN((0.9983271+0.0016764*COS($E$6*2*$E$2))*COS($E$6*AI74)*SIN($E$6*AH74))/$E$6</f>
        <v>0.94964882665483</v>
      </c>
      <c r="AK74" s="29" t="n">
        <f aca="false">AI74-AJ74</f>
        <v>-7.6456223005391</v>
      </c>
      <c r="AL74" s="31" t="n">
        <f aca="false"> MOD(280.4664567 + 360007.6982779*K74/10 + 0.03032028*K74^2/100 + K74^3/49931000,360)</f>
        <v>251.320524058554</v>
      </c>
      <c r="AM74" s="29" t="n">
        <f aca="false"> AL74 + (1.9146 - 0.004817*K74 - 0.000014*K74^2)*SIN(P74)+ (0.019993 - 0.000101*K74)*SIN(2*P74)+ 0.00029*SIN(3*P74)</f>
        <v>250.287938571639</v>
      </c>
      <c r="AN74" s="29" t="n">
        <f aca="false">ACOS(COS(V74-$E$6*AM74)*COS(X74))/$E$6</f>
        <v>113.737317085182</v>
      </c>
      <c r="AO74" s="24" t="n">
        <f aca="false">180 - AN74 -0.1468*(1-0.0549*SIN(P74))*SIN($E$6*AN74)/(1-0.0167*SIN($E$6*AM74))</f>
        <v>66.1265317694815</v>
      </c>
      <c r="AP74" s="48" t="n">
        <f aca="false">SIN($E$6*AG74)</f>
        <v>-0.988407399363969</v>
      </c>
      <c r="AQ74" s="48" t="n">
        <f aca="false">COS($E$6*AG74)*SIN($E$6*$E$2) - TAN($E$6*AE74)*COS($E$6*$E$2)</f>
        <v>-0.100323344289082</v>
      </c>
      <c r="AR74" s="48" t="n">
        <f aca="false">IF(OR(AND(AP74*AQ74&gt;0), AND(AP74&lt;0,AQ74&gt;0)), MOD(ATAN2(AQ74,AP74)/$E$6+360,360),  ATAN2(AQ74,AP74)/$E$6)</f>
        <v>264.204327205926</v>
      </c>
      <c r="AS74" s="20" t="n">
        <f aca="false"> 385000.56 + (-20905355*COS(O74) - 3699111*COS(2*Q74-O74) - 2955968*COS(2*Q74) - 569925*COS(2*O74) + (1-0.002516*K74)*48888*COS(P74) - 3149*COS(2*R74)  +246158*COS(2*Q74-2*O74) -(1-0.002516*K74)*152138*COS(2*Q74-P74-O74) -170733*COS(2*Q74+O74) -(1-0.002516*K74)*204586*COS(2*Q74-P74) -(1-0.002516*K74)*129620*COS(P74-O74)  + 108743*COS(Q74) +(1-0.002516*K74)*104755*COS(P74+O74) +10321*COS(2*Q74-2*R74) +79661*COS(O74-2*R74) -34782*COS(4*Q74-O74) -23210*COS(3*O74)  -21636*COS(4*Q74-2*O74) +(1-0.002516*K74)*24208*COS(2*Q74+P74-O74) +(1-0.002516*K74)*30824*COS(2*Q74+P74) -8379*COS(Q74-O74) -(1-0.002516*K74)*16675*COS(Q74+P74)  -(1-0.002516*K74)*12831*COS(2*Q74-P74+O74) -10445*COS(2*Q74+2*O74) -11650*COS(4*Q74) +14403*COS(2*Q74-3*O74) -(1-0.002516*K74)*7003*COS(P74-2*O74)  + (1-0.002516*K74)*10056*COS(2*Q74-P74-2*O74) +6322*COS(Q74+O74) -(1-0.002516*K74)*(1-0.002516*K74)*9884*COS(2*Q74-2*P74) +(1-0.002516*K74)*5751*COS(P74+2*O74) -(1-0.002516*K74)*(1-0.002516*K74)*4950*COS(2*Q74-2*P74-O74)  +4130*COS(2*Q74+O74-2*R74) -(1-0.002516*K74)*3958*COS(4*Q74-P74-O74) +3258*COS(3*Q74-O74) +(1-0.002516*K74)*2616*COS(2*Q74+P74+O74) -(1-0.002516*K74)*1897*COS(4*Q74-P74-2*O74)  -(1-0.002516*K74)*(1-0.002516*K74)*2117*COS(2*P74-O74) +(1-0.002516*K74)*(1-0.002516*K74)*2354*COS(2*Q74+2*P74-O74) -1423*COS(4*Q74+O74) -1117*COS(4*O74) -(1-0.002516*K74)*1571*COS(4*Q74-P74)  -1739*COS(Q74-2*O74) -4421*COS(2*O74-2*R74) +(1-0.002516*K74)*(1-0.002516*K74)*1165*COS(2*P74+O74) +8752*COS(2*Q74-O74-2*R74))/1000</f>
        <v>381408.727216571</v>
      </c>
      <c r="AT74" s="24" t="n">
        <f aca="false">60*ATAN(3476/AS74)/$E$6</f>
        <v>31.3293223375447</v>
      </c>
      <c r="AU74" s="28" t="n">
        <f aca="false">ATAN(0.99664719*TAN($E$6*input!$D$2))</f>
        <v>0.871010436227447</v>
      </c>
      <c r="AV74" s="28" t="n">
        <f aca="false">COS(AU74)</f>
        <v>0.644053912545846</v>
      </c>
      <c r="AW74" s="28" t="n">
        <f aca="false">0.99664719*SIN(AU74)</f>
        <v>0.762415269897027</v>
      </c>
      <c r="AX74" s="28" t="n">
        <f aca="false">6378.14/AS74</f>
        <v>0.0167225853654323</v>
      </c>
      <c r="AY74" s="31" t="n">
        <f aca="false">L74-15*AF74</f>
        <v>261.267300572625</v>
      </c>
      <c r="AZ74" s="29" t="n">
        <f aca="false">COS($E$6*AE74)*SIN($E$6*AY74)</f>
        <v>-0.988102051852379</v>
      </c>
      <c r="BA74" s="29" t="n">
        <f aca="false">COS($E$6*AE74)*COS($E$6*AY74)-AV74*AX74</f>
        <v>-0.162548285004926</v>
      </c>
      <c r="BB74" s="29" t="n">
        <f aca="false">SIN($E$6*AE74)-AW74*AX74</f>
        <v>-0.0376043761516277</v>
      </c>
      <c r="BC74" s="45" t="n">
        <f aca="false">SQRT(AZ74^2+BA74^2+BB74^2)</f>
        <v>1.00208866820191</v>
      </c>
      <c r="BD74" s="20" t="n">
        <f aca="false">AS74*BC74</f>
        <v>382205.363497039</v>
      </c>
      <c r="BE74" s="30" t="str">
        <f aca="false">IF(OR(AND(BD74&gt;BD73,BD74&gt;BD75),AND(BD74&lt;BD73,BD74&lt;BD75)),BD74,"")</f>
        <v/>
      </c>
      <c r="BF74" s="0"/>
    </row>
    <row r="75" customFormat="false" ht="15" hidden="false" customHeight="false" outlineLevel="0" collapsed="false">
      <c r="A75" s="31" t="n">
        <v>36.5</v>
      </c>
      <c r="F75" s="38" t="n">
        <f aca="false">AK75</f>
        <v>-2.88594618279719</v>
      </c>
      <c r="G75" s="39" t="n">
        <f aca="false">F75+1.02/(TAN($E$6*(F75+10.3/(F75+5.11)))*60)</f>
        <v>-2.32801213036966</v>
      </c>
      <c r="H75" s="38" t="n">
        <f aca="false">100*(1+COS($E$6*AO75))/2</f>
        <v>70.4399386914662</v>
      </c>
      <c r="I75" s="38" t="n">
        <f aca="false">IF(AG75&gt;180, AR75-180,AR75+180)</f>
        <v>89.7160943141695</v>
      </c>
      <c r="J75" s="31" t="n">
        <f aca="false">J74+0.5/24</f>
        <v>2459916.02083334</v>
      </c>
      <c r="K75" s="47" t="n">
        <f aca="false">(J75-2451545)/36525</f>
        <v>0.229186059776515</v>
      </c>
      <c r="L75" s="31" t="n">
        <f aca="false">MOD(280.46061837+360.98564736629*(J75-2451545)+0.000387933*K75^2-K75^3/38710000+$E$4,360)</f>
        <v>273.835277680773</v>
      </c>
      <c r="M75" s="28" t="n">
        <f aca="false">0.606433+1336.855225*K75 - INT(0.606433+1336.855225*K75)</f>
        <v>0.995014509396526</v>
      </c>
      <c r="N75" s="31" t="n">
        <f aca="false">22640*SIN(O75)-4586*SIN(O75-2*Q75)+2370*SIN(2*Q75)+769*SIN(2*O75)-668*SIN(P75)-412*SIN(2*R75)-212*SIN(2*O75-2*Q75)-206*SIN(O75+P75-2*Q75)+192*SIN(O75+2*Q75)-165*SIN(P75-2*Q75)-125*SIN(Q75)-110*SIN(O75+P75)+148*SIN(O75-P75)-55*SIN(2*R75-2*Q75)</f>
        <v>22102.3500793239</v>
      </c>
      <c r="O75" s="29" t="n">
        <f aca="false">2*PI()*(0.374897+1325.55241*K75 - INT(0.374897+1325.55241*K75))</f>
        <v>1.08718505251665</v>
      </c>
      <c r="P75" s="32" t="n">
        <f aca="false">2*PI()*(0.993133+99.997361*K75 - INT(0.993133+99.997361*K75))</f>
        <v>5.72482473958523</v>
      </c>
      <c r="Q75" s="32" t="n">
        <f aca="false">2*PI()*(0.827361+1236.853086*K75 - INT(0.827361+1236.853086*K75))</f>
        <v>1.86514032801223</v>
      </c>
      <c r="R75" s="32" t="n">
        <f aca="false">2*PI()*(0.259086+1342.227825*K75 - INT(0.259086+1342.227825*K75))</f>
        <v>5.52287297570344</v>
      </c>
      <c r="S75" s="32" t="n">
        <f aca="false">R75+(N75+412*SIN(2*R75)+541*SIN(P75))/206264.8062</f>
        <v>5.62664370139569</v>
      </c>
      <c r="T75" s="32" t="n">
        <f aca="false">R75-2*Q75</f>
        <v>1.79259231967898</v>
      </c>
      <c r="U75" s="24" t="n">
        <f aca="false">-526*SIN(T75)+44*SIN(O75+T75)-31*SIN(-O75+T75)-23*SIN(P75+T75)+11*SIN(-P75+T75)-25*SIN(-2*O75+R75)+21*SIN(-O75+R75)</f>
        <v>-550.781036428897</v>
      </c>
      <c r="V75" s="32" t="n">
        <f aca="false">2*PI()*(M75+N75/1296000-INT(M75+N75/1296000))</f>
        <v>0.0758304557224582</v>
      </c>
      <c r="W75" s="31" t="n">
        <f aca="false">V75/$E$6</f>
        <v>4.34476507145051</v>
      </c>
      <c r="X75" s="32" t="n">
        <f aca="false">(18520*SIN(S75)+U75)/206264.8062</f>
        <v>-0.057474849794074</v>
      </c>
      <c r="Y75" s="32" t="n">
        <f aca="false">COS(X75)*COS(V75)</f>
        <v>0.995479769109861</v>
      </c>
      <c r="Z75" s="32" t="n">
        <f aca="false">COS(X75)*SIN(V75)</f>
        <v>0.0756327093562858</v>
      </c>
      <c r="AA75" s="32" t="n">
        <f aca="false">SIN(X75)</f>
        <v>-0.0574432116825453</v>
      </c>
      <c r="AB75" s="32" t="n">
        <f aca="false">COS($E$6*(23.4393-46.815*K75/3600))*Z75-SIN($E$6*(23.4393-46.815*K75/3600))*AA75</f>
        <v>0.0922400783597117</v>
      </c>
      <c r="AC75" s="32" t="n">
        <f aca="false">SIN($E$6*(23.4393-46.815*K75/3600))*Z75+COS($E$6*(23.4393-46.815*K75/3600))*AA75</f>
        <v>-0.0226229360864666</v>
      </c>
      <c r="AD75" s="32" t="n">
        <f aca="false">SQRT(1-AC75*AC75)</f>
        <v>0.999744068630981</v>
      </c>
      <c r="AE75" s="31" t="n">
        <f aca="false">ATAN(AC75/AD75)/$E$6</f>
        <v>-1.29630934857782</v>
      </c>
      <c r="AF75" s="32" t="n">
        <f aca="false">IF(24*ATAN(AB75/(Y75+AD75))/PI()&gt;0,24*ATAN(AB75/(Y75+AD75))/PI(),24*ATAN(AB75/(Y75+AD75))/PI()+24)</f>
        <v>0.352923269906315</v>
      </c>
      <c r="AG75" s="31" t="n">
        <f aca="false">IF(L75-15*AF75&gt;0,L75-15*AF75,360+L75-15*AF75)</f>
        <v>268.541428632179</v>
      </c>
      <c r="AH75" s="29" t="n">
        <f aca="false">0.950724+0.051818*COS(O75)+0.009531*COS(2*Q75-O75)+0.007843*COS(2*Q75)+0.002824*COS(2*O75)+0.000857*COS(2*Q75+O75)+0.000533*COS(2*Q75-P75)*(1-0.002495*(J75-2415020)/36525)+0.000401*COS(2*Q75-P75-O75)*(1-0.002495*(J75-2415020)/36525)+0.00032*COS(O75-P75)*(1-0.002495*(J75-2415020)/36525)-0.000271*COS(Q75)</f>
        <v>0.957848685656775</v>
      </c>
      <c r="AI75" s="32" t="n">
        <f aca="false">ASIN(COS($E$6*$E$2)*COS($E$6*AE75)*COS($E$6*AG75)+SIN($E$6*$E$2)*SIN($E$6*AE75))/$E$6</f>
        <v>-1.93052153592214</v>
      </c>
      <c r="AJ75" s="29" t="n">
        <f aca="false">ASIN((0.9983271+0.0016764*COS($E$6*2*$E$2))*COS($E$6*AI75)*SIN($E$6*AH75))/$E$6</f>
        <v>0.95542464687505</v>
      </c>
      <c r="AK75" s="29" t="n">
        <f aca="false">AI75-AJ75</f>
        <v>-2.88594618279719</v>
      </c>
      <c r="AL75" s="31" t="n">
        <f aca="false"> MOD(280.4664567 + 360007.6982779*K75/10 + 0.03032028*K75^2/100 + K75^3/49931000,360)</f>
        <v>251.341058378786</v>
      </c>
      <c r="AM75" s="29" t="n">
        <f aca="false"> AL75 + (1.9146 - 0.004817*K75 - 0.000014*K75^2)*SIN(P75)+ (0.019993 - 0.000101*K75)*SIN(2*P75)+ 0.00029*SIN(3*P75)</f>
        <v>250.309060668948</v>
      </c>
      <c r="AN75" s="29" t="n">
        <f aca="false">ACOS(COS(V75-$E$6*AM75)*COS(X75))/$E$6</f>
        <v>113.993518378898</v>
      </c>
      <c r="AO75" s="24" t="n">
        <f aca="false">180 - AN75 -0.1468*(1-0.0549*SIN(P75))*SIN($E$6*AN75)/(1-0.0167*SIN($E$6*AM75))</f>
        <v>65.8706020375903</v>
      </c>
      <c r="AP75" s="48" t="n">
        <f aca="false">SIN($E$6*AG75)</f>
        <v>-0.999675991313503</v>
      </c>
      <c r="AQ75" s="48" t="n">
        <f aca="false">COS($E$6*AG75)*SIN($E$6*$E$2) - TAN($E$6*AE75)*COS($E$6*$E$2)</f>
        <v>-0.00495352403220607</v>
      </c>
      <c r="AR75" s="48" t="n">
        <f aca="false">IF(OR(AND(AP75*AQ75&gt;0), AND(AP75&lt;0,AQ75&gt;0)), MOD(ATAN2(AQ75,AP75)/$E$6+360,360),  ATAN2(AQ75,AP75)/$E$6)</f>
        <v>269.71609431417</v>
      </c>
      <c r="AS75" s="20" t="n">
        <f aca="false"> 385000.56 + (-20905355*COS(O75) - 3699111*COS(2*Q75-O75) - 2955968*COS(2*Q75) - 569925*COS(2*O75) + (1-0.002516*K75)*48888*COS(P75) - 3149*COS(2*R75)  +246158*COS(2*Q75-2*O75) -(1-0.002516*K75)*152138*COS(2*Q75-P75-O75) -170733*COS(2*Q75+O75) -(1-0.002516*K75)*204586*COS(2*Q75-P75) -(1-0.002516*K75)*129620*COS(P75-O75)  + 108743*COS(Q75) +(1-0.002516*K75)*104755*COS(P75+O75) +10321*COS(2*Q75-2*R75) +79661*COS(O75-2*R75) -34782*COS(4*Q75-O75) -23210*COS(3*O75)  -21636*COS(4*Q75-2*O75) +(1-0.002516*K75)*24208*COS(2*Q75+P75-O75) +(1-0.002516*K75)*30824*COS(2*Q75+P75) -8379*COS(Q75-O75) -(1-0.002516*K75)*16675*COS(Q75+P75)  -(1-0.002516*K75)*12831*COS(2*Q75-P75+O75) -10445*COS(2*Q75+2*O75) -11650*COS(4*Q75) +14403*COS(2*Q75-3*O75) -(1-0.002516*K75)*7003*COS(P75-2*O75)  + (1-0.002516*K75)*10056*COS(2*Q75-P75-2*O75) +6322*COS(Q75+O75) -(1-0.002516*K75)*(1-0.002516*K75)*9884*COS(2*Q75-2*P75) +(1-0.002516*K75)*5751*COS(P75+2*O75) -(1-0.002516*K75)*(1-0.002516*K75)*4950*COS(2*Q75-2*P75-O75)  +4130*COS(2*Q75+O75-2*R75) -(1-0.002516*K75)*3958*COS(4*Q75-P75-O75) +3258*COS(3*Q75-O75) +(1-0.002516*K75)*2616*COS(2*Q75+P75+O75) -(1-0.002516*K75)*1897*COS(4*Q75-P75-2*O75)  -(1-0.002516*K75)*(1-0.002516*K75)*2117*COS(2*P75-O75) +(1-0.002516*K75)*(1-0.002516*K75)*2354*COS(2*Q75+2*P75-O75) -1423*COS(4*Q75+O75) -1117*COS(4*O75) -(1-0.002516*K75)*1571*COS(4*Q75-P75)  -1739*COS(Q75-2*O75) -4421*COS(2*O75-2*R75) +(1-0.002516*K75)*(1-0.002516*K75)*1165*COS(2*P75+O75) +8752*COS(2*Q75-O75-2*R75))/1000</f>
        <v>381489.902947856</v>
      </c>
      <c r="AT75" s="24" t="n">
        <f aca="false">60*ATAN(3476/AS75)/$E$6</f>
        <v>31.322656263641</v>
      </c>
      <c r="AU75" s="28" t="n">
        <f aca="false">ATAN(0.99664719*TAN($E$6*input!$D$2))</f>
        <v>0.871010436227447</v>
      </c>
      <c r="AV75" s="28" t="n">
        <f aca="false">COS(AU75)</f>
        <v>0.644053912545846</v>
      </c>
      <c r="AW75" s="28" t="n">
        <f aca="false">0.99664719*SIN(AU75)</f>
        <v>0.762415269897027</v>
      </c>
      <c r="AX75" s="28" t="n">
        <f aca="false">6378.14/AS75</f>
        <v>0.0167190270324711</v>
      </c>
      <c r="AY75" s="31" t="n">
        <f aca="false">L75-15*AF75</f>
        <v>268.541428632179</v>
      </c>
      <c r="AZ75" s="29" t="n">
        <f aca="false">COS($E$6*AE75)*SIN($E$6*AY75)</f>
        <v>-0.999420142868471</v>
      </c>
      <c r="BA75" s="29" t="n">
        <f aca="false">COS($E$6*AE75)*COS($E$6*AY75)-AV75*AX75</f>
        <v>-0.0362155635340484</v>
      </c>
      <c r="BB75" s="29" t="n">
        <f aca="false">SIN($E$6*AE75)-AW75*AX75</f>
        <v>-0.0353697775938437</v>
      </c>
      <c r="BC75" s="45" t="n">
        <f aca="false">SQRT(AZ75^2+BA75^2+BB75^2)</f>
        <v>1.00070135913786</v>
      </c>
      <c r="BD75" s="20" t="n">
        <f aca="false">AS75*BC75</f>
        <v>381757.46437729</v>
      </c>
      <c r="BE75" s="30" t="str">
        <f aca="false">IF(OR(AND(BD75&gt;BD74,BD75&gt;BD76),AND(BD75&lt;BD74,BD75&lt;BD76)),BD75,"")</f>
        <v/>
      </c>
    </row>
    <row r="76" customFormat="false" ht="15" hidden="false" customHeight="false" outlineLevel="0" collapsed="false">
      <c r="A76" s="31" t="n">
        <v>37</v>
      </c>
      <c r="F76" s="38" t="n">
        <f aca="false">AK76</f>
        <v>1.88262114221025</v>
      </c>
      <c r="G76" s="39" t="n">
        <f aca="false">F76+1.02/(TAN($E$6*(F76+10.3/(F76+5.11)))*60)</f>
        <v>2.17255845693138</v>
      </c>
      <c r="H76" s="38" t="n">
        <f aca="false">100*(1+COS($E$6*AO76))/2</f>
        <v>70.6434696729615</v>
      </c>
      <c r="I76" s="38" t="n">
        <f aca="false">IF(AG76&gt;180, AR76-180,AR76+180)</f>
        <v>95.2110532307478</v>
      </c>
      <c r="J76" s="31" t="n">
        <f aca="false">J75+0.5/24</f>
        <v>2459916.04166667</v>
      </c>
      <c r="K76" s="47" t="n">
        <f aca="false">(J76-2451545)/36525</f>
        <v>0.2291866301621</v>
      </c>
      <c r="L76" s="31" t="n">
        <f aca="false">MOD(280.46061837+360.98564736629*(J76-2451545)+0.000387933*K76^2-K76^3/38710000+$E$4,360)</f>
        <v>281.355812057387</v>
      </c>
      <c r="M76" s="28" t="n">
        <f aca="false">0.606433+1336.855225*K76 - INT(0.606433+1336.855225*K76)</f>
        <v>0.995777032345984</v>
      </c>
      <c r="N76" s="31" t="n">
        <f aca="false">22640*SIN(O76)-4586*SIN(O76-2*Q76)+2370*SIN(2*Q76)+769*SIN(2*O76)-668*SIN(P76)-412*SIN(2*R76)-212*SIN(2*O76-2*Q76)-206*SIN(O76+P76-2*Q76)+192*SIN(O76+2*Q76)-165*SIN(P76-2*Q76)-125*SIN(Q76)-110*SIN(O76+P76)+148*SIN(O76-P76)-55*SIN(2*R76-2*Q76)</f>
        <v>22112.0744190045</v>
      </c>
      <c r="O76" s="29" t="n">
        <f aca="false">2*PI()*(0.374897+1325.55241*K76 - INT(0.374897+1325.55241*K76))</f>
        <v>1.09193561804713</v>
      </c>
      <c r="P76" s="32" t="n">
        <f aca="false">2*PI()*(0.993133+99.997361*K76 - INT(0.993133+99.997361*K76))</f>
        <v>5.72518311396012</v>
      </c>
      <c r="Q76" s="32" t="n">
        <f aca="false">2*PI()*(0.827361+1236.853086*K76 - INT(0.827361+1236.853086*K76))</f>
        <v>1.86957300950621</v>
      </c>
      <c r="R76" s="32" t="n">
        <f aca="false">2*PI()*(0.259086+1342.227825*K76 - INT(0.259086+1342.227825*K76))</f>
        <v>5.52768330322575</v>
      </c>
      <c r="S76" s="32" t="n">
        <f aca="false">R76+(N76+412*SIN(2*R76)+541*SIN(P76))/206264.8062</f>
        <v>5.63150302717029</v>
      </c>
      <c r="T76" s="32" t="n">
        <f aca="false">R76-2*Q76</f>
        <v>1.78853728421334</v>
      </c>
      <c r="U76" s="24" t="n">
        <f aca="false">-526*SIN(T76)+44*SIN(O76+T76)-31*SIN(-O76+T76)-23*SIN(P76+T76)+11*SIN(-P76+T76)-25*SIN(-2*O76+R76)+21*SIN(-O76+R76)</f>
        <v>-551.119854756637</v>
      </c>
      <c r="V76" s="32" t="n">
        <f aca="false">2*PI()*(M76+N76/1296000-INT(M76+N76/1296000))</f>
        <v>0.0806686736440481</v>
      </c>
      <c r="W76" s="31" t="n">
        <f aca="false">V76/$E$6</f>
        <v>4.62197453872218</v>
      </c>
      <c r="X76" s="32" t="n">
        <f aca="false">(18520*SIN(S76)+U76)/206264.8062</f>
        <v>-0.0571302447700685</v>
      </c>
      <c r="Y76" s="32" t="n">
        <f aca="false">COS(X76)*COS(V76)</f>
        <v>0.995121863519922</v>
      </c>
      <c r="Z76" s="32" t="n">
        <f aca="false">COS(X76)*SIN(V76)</f>
        <v>0.0804497437544954</v>
      </c>
      <c r="AA76" s="32" t="n">
        <f aca="false">SIN(X76)</f>
        <v>-0.0570991722748606</v>
      </c>
      <c r="AB76" s="32" t="n">
        <f aca="false">COS($E$6*(23.4393-46.815*K76/3600))*Z76-SIN($E$6*(23.4393-46.815*K76/3600))*AA76</f>
        <v>0.0965228857306968</v>
      </c>
      <c r="AC76" s="32" t="n">
        <f aca="false">SIN($E$6*(23.4393-46.815*K76/3600))*Z76+COS($E$6*(23.4393-46.815*K76/3600))*AA76</f>
        <v>-0.0203914019836061</v>
      </c>
      <c r="AD76" s="32" t="n">
        <f aca="false">SQRT(1-AC76*AC76)</f>
        <v>0.999792073745908</v>
      </c>
      <c r="AE76" s="31" t="n">
        <f aca="false">ATAN(AC76/AD76)/$E$6</f>
        <v>-1.16842225502549</v>
      </c>
      <c r="AF76" s="32" t="n">
        <f aca="false">IF(24*ATAN(AB76/(Y76+AD76))/PI()&gt;0,24*ATAN(AB76/(Y76+AD76))/PI(),24*ATAN(AB76/(Y76+AD76))/PI()+24)</f>
        <v>0.369342209033604</v>
      </c>
      <c r="AG76" s="31" t="n">
        <f aca="false">IF(L76-15*AF76&gt;0,L76-15*AF76,360+L76-15*AF76)</f>
        <v>275.815678921883</v>
      </c>
      <c r="AH76" s="29" t="n">
        <f aca="false">0.950724+0.051818*COS(O76)+0.009531*COS(2*Q76-O76)+0.007843*COS(2*Q76)+0.002824*COS(2*O76)+0.000857*COS(2*Q76+O76)+0.000533*COS(2*Q76-P76)*(1-0.002495*(J76-2415020)/36525)+0.000401*COS(2*Q76-P76-O76)*(1-0.002495*(J76-2415020)/36525)+0.00032*COS(O76-P76)*(1-0.002495*(J76-2415020)/36525)-0.000271*COS(Q76)</f>
        <v>0.957644215267409</v>
      </c>
      <c r="AI76" s="32" t="n">
        <f aca="false">ASIN(COS($E$6*$E$2)*COS($E$6*AE76)*COS($E$6*AG76)+SIN($E$6*$E$2)*SIN($E$6*AE76))/$E$6</f>
        <v>2.83721268247463</v>
      </c>
      <c r="AJ76" s="29" t="n">
        <f aca="false">ASIN((0.9983271+0.0016764*COS($E$6*2*$E$2))*COS($E$6*AI76)*SIN($E$6*AH76))/$E$6</f>
        <v>0.95459154026438</v>
      </c>
      <c r="AK76" s="29" t="n">
        <f aca="false">AI76-AJ76</f>
        <v>1.88262114221025</v>
      </c>
      <c r="AL76" s="31" t="n">
        <f aca="false"> MOD(280.4664567 + 360007.6982779*K76/10 + 0.03032028*K76^2/100 + K76^3/49931000,360)</f>
        <v>251.361592699022</v>
      </c>
      <c r="AM76" s="29" t="n">
        <f aca="false"> AL76 + (1.9146 - 0.004817*K76 - 0.000014*K76^2)*SIN(P76)+ (0.019993 - 0.000101*K76)*SIN(2*P76)+ 0.00029*SIN(3*P76)</f>
        <v>250.330182906011</v>
      </c>
      <c r="AN76" s="29" t="n">
        <f aca="false">ACOS(COS(V76-$E$6*AM76)*COS(X76))/$E$6</f>
        <v>114.249608088779</v>
      </c>
      <c r="AO76" s="24" t="n">
        <f aca="false">180 - AN76 -0.1468*(1-0.0549*SIN(P76))*SIN($E$6*AN76)/(1-0.0167*SIN($E$6*AM76))</f>
        <v>65.6147864777782</v>
      </c>
      <c r="AP76" s="48" t="n">
        <f aca="false">SIN($E$6*AG76)</f>
        <v>-0.994853017643504</v>
      </c>
      <c r="AQ76" s="48" t="n">
        <f aca="false">COS($E$6*AG76)*SIN($E$6*$E$2) - TAN($E$6*AE76)*COS($E$6*$E$2)</f>
        <v>0.0907322324721395</v>
      </c>
      <c r="AR76" s="48" t="n">
        <f aca="false">IF(OR(AND(AP76*AQ76&gt;0), AND(AP76&lt;0,AQ76&gt;0)), MOD(ATAN2(AQ76,AP76)/$E$6+360,360),  ATAN2(AQ76,AP76)/$E$6)</f>
        <v>275.211053230748</v>
      </c>
      <c r="AS76" s="20" t="n">
        <f aca="false"> 385000.56 + (-20905355*COS(O76) - 3699111*COS(2*Q76-O76) - 2955968*COS(2*Q76) - 569925*COS(2*O76) + (1-0.002516*K76)*48888*COS(P76) - 3149*COS(2*R76)  +246158*COS(2*Q76-2*O76) -(1-0.002516*K76)*152138*COS(2*Q76-P76-O76) -170733*COS(2*Q76+O76) -(1-0.002516*K76)*204586*COS(2*Q76-P76) -(1-0.002516*K76)*129620*COS(P76-O76)  + 108743*COS(Q76) +(1-0.002516*K76)*104755*COS(P76+O76) +10321*COS(2*Q76-2*R76) +79661*COS(O76-2*R76) -34782*COS(4*Q76-O76) -23210*COS(3*O76)  -21636*COS(4*Q76-2*O76) +(1-0.002516*K76)*24208*COS(2*Q76+P76-O76) +(1-0.002516*K76)*30824*COS(2*Q76+P76) -8379*COS(Q76-O76) -(1-0.002516*K76)*16675*COS(Q76+P76)  -(1-0.002516*K76)*12831*COS(2*Q76-P76+O76) -10445*COS(2*Q76+2*O76) -11650*COS(4*Q76) +14403*COS(2*Q76-3*O76) -(1-0.002516*K76)*7003*COS(P76-2*O76)  + (1-0.002516*K76)*10056*COS(2*Q76-P76-2*O76) +6322*COS(Q76+O76) -(1-0.002516*K76)*(1-0.002516*K76)*9884*COS(2*Q76-2*P76) +(1-0.002516*K76)*5751*COS(P76+2*O76) -(1-0.002516*K76)*(1-0.002516*K76)*4950*COS(2*Q76-2*P76-O76)  +4130*COS(2*Q76+O76-2*R76) -(1-0.002516*K76)*3958*COS(4*Q76-P76-O76) +3258*COS(3*Q76-O76) +(1-0.002516*K76)*2616*COS(2*Q76+P76+O76) -(1-0.002516*K76)*1897*COS(4*Q76-P76-2*O76)  -(1-0.002516*K76)*(1-0.002516*K76)*2117*COS(2*P76-O76) +(1-0.002516*K76)*(1-0.002516*K76)*2354*COS(2*Q76+2*P76-O76) -1423*COS(4*Q76+O76) -1117*COS(4*O76) -(1-0.002516*K76)*1571*COS(4*Q76-P76)  -1739*COS(Q76-2*O76) -4421*COS(2*O76-2*R76) +(1-0.002516*K76)*(1-0.002516*K76)*1165*COS(2*P76+O76) +8752*COS(2*Q76-O76-2*R76))/1000</f>
        <v>381571.026342634</v>
      </c>
      <c r="AT76" s="24" t="n">
        <f aca="false">60*ATAN(3476/AS76)/$E$6</f>
        <v>31.3159973208761</v>
      </c>
      <c r="AU76" s="28" t="n">
        <f aca="false">ATAN(0.99664719*TAN($E$6*input!$D$2))</f>
        <v>0.871010436227447</v>
      </c>
      <c r="AV76" s="28" t="n">
        <f aca="false">COS(AU76)</f>
        <v>0.644053912545846</v>
      </c>
      <c r="AW76" s="28" t="n">
        <f aca="false">0.99664719*SIN(AU76)</f>
        <v>0.762415269897027</v>
      </c>
      <c r="AX76" s="28" t="n">
        <f aca="false">6378.14/AS76</f>
        <v>0.0167154725062188</v>
      </c>
      <c r="AY76" s="31" t="n">
        <f aca="false">L76-15*AF76</f>
        <v>275.815678921883</v>
      </c>
      <c r="AZ76" s="29" t="n">
        <f aca="false">COS($E$6*AE76)*SIN($E$6*AY76)</f>
        <v>-0.994646161582174</v>
      </c>
      <c r="BA76" s="29" t="n">
        <f aca="false">COS($E$6*AE76)*COS($E$6*AY76)-AV76*AX76</f>
        <v>0.0905418069861879</v>
      </c>
      <c r="BB76" s="29" t="n">
        <f aca="false">SIN($E$6*AE76)-AW76*AX76</f>
        <v>-0.0331355334658913</v>
      </c>
      <c r="BC76" s="45" t="n">
        <f aca="false">SQRT(AZ76^2+BA76^2+BB76^2)</f>
        <v>0.999308145238767</v>
      </c>
      <c r="BD76" s="20" t="n">
        <f aca="false">AS76*BC76</f>
        <v>381307.03461131</v>
      </c>
      <c r="BE76" s="30" t="str">
        <f aca="false">IF(OR(AND(BD76&gt;BD75,BD76&gt;BD77),AND(BD76&lt;BD75,BD76&lt;BD77)),BD76,"")</f>
        <v/>
      </c>
    </row>
    <row r="77" customFormat="false" ht="15" hidden="false" customHeight="false" outlineLevel="0" collapsed="false">
      <c r="A77" s="31" t="n">
        <v>37.5</v>
      </c>
      <c r="F77" s="38" t="n">
        <f aca="false">AK77</f>
        <v>6.61737991600398</v>
      </c>
      <c r="G77" s="39" t="n">
        <f aca="false">F77+1.02/(TAN($E$6*(F77+10.3/(F77+5.11)))*60)</f>
        <v>6.74658324916574</v>
      </c>
      <c r="H77" s="38" t="n">
        <f aca="false">100*(1+COS($E$6*AO77))/2</f>
        <v>70.8464987407655</v>
      </c>
      <c r="I77" s="38" t="n">
        <f aca="false">IF(AG77&gt;180, AR77-180,AR77+180)</f>
        <v>100.764075828514</v>
      </c>
      <c r="J77" s="31" t="n">
        <f aca="false">J76+0.5/24</f>
        <v>2459916.0625</v>
      </c>
      <c r="K77" s="47" t="n">
        <f aca="false">(J77-2451545)/36525</f>
        <v>0.229187200547685</v>
      </c>
      <c r="L77" s="31" t="n">
        <f aca="false">MOD(280.46061837+360.98564736629*(J77-2451545)+0.000387933*K77^2-K77^3/38710000+$E$4,360)</f>
        <v>288.876346433535</v>
      </c>
      <c r="M77" s="28" t="n">
        <f aca="false">0.606433+1336.855225*K77 - INT(0.606433+1336.855225*K77)</f>
        <v>0.996539555295385</v>
      </c>
      <c r="N77" s="31" t="n">
        <f aca="false">22640*SIN(O77)-4586*SIN(O77-2*Q77)+2370*SIN(2*Q77)+769*SIN(2*O77)-668*SIN(P77)-412*SIN(2*R77)-212*SIN(2*O77-2*Q77)-206*SIN(O77+P77-2*Q77)+192*SIN(O77+2*Q77)-165*SIN(P77-2*Q77)-125*SIN(Q77)-110*SIN(O77+P77)+148*SIN(O77-P77)-55*SIN(2*R77-2*Q77)</f>
        <v>22121.3657207438</v>
      </c>
      <c r="O77" s="29" t="n">
        <f aca="false">2*PI()*(0.374897+1325.55241*K77 - INT(0.374897+1325.55241*K77))</f>
        <v>1.09668618357797</v>
      </c>
      <c r="P77" s="32" t="n">
        <f aca="false">2*PI()*(0.993133+99.997361*K77 - INT(0.993133+99.997361*K77))</f>
        <v>5.72554148833502</v>
      </c>
      <c r="Q77" s="32" t="n">
        <f aca="false">2*PI()*(0.827361+1236.853086*K77 - INT(0.827361+1236.853086*K77))</f>
        <v>1.87400569099983</v>
      </c>
      <c r="R77" s="32" t="n">
        <f aca="false">2*PI()*(0.259086+1342.227825*K77 - INT(0.259086+1342.227825*K77))</f>
        <v>5.5324936307477</v>
      </c>
      <c r="S77" s="32" t="n">
        <f aca="false">R77+(N77+412*SIN(2*R77)+541*SIN(P77))/206264.8062</f>
        <v>5.63636043824026</v>
      </c>
      <c r="T77" s="32" t="n">
        <f aca="false">R77-2*Q77</f>
        <v>1.78448224874805</v>
      </c>
      <c r="U77" s="24" t="n">
        <f aca="false">-526*SIN(T77)+44*SIN(O77+T77)-31*SIN(-O77+T77)-23*SIN(P77+T77)+11*SIN(-P77+T77)-25*SIN(-2*O77+R77)+21*SIN(-O77+R77)</f>
        <v>-551.448658484486</v>
      </c>
      <c r="V77" s="32" t="n">
        <f aca="false">2*PI()*(M77+N77/1296000-INT(M77+N77/1296000))</f>
        <v>0.0855047921380979</v>
      </c>
      <c r="W77" s="31" t="n">
        <f aca="false">V77/$E$6</f>
        <v>4.89906371765639</v>
      </c>
      <c r="X77" s="32" t="n">
        <f aca="false">(18520*SIN(S77)+U77)/206264.8062</f>
        <v>-0.0567844424588127</v>
      </c>
      <c r="Y77" s="32" t="n">
        <f aca="false">COS(X77)*COS(V77)</f>
        <v>0.99474077700624</v>
      </c>
      <c r="Z77" s="32" t="n">
        <f aca="false">COS(X77)*SIN(V77)</f>
        <v>0.0852629926041842</v>
      </c>
      <c r="AA77" s="32" t="n">
        <f aca="false">SIN(X77)</f>
        <v>-0.0567539307290814</v>
      </c>
      <c r="AB77" s="32" t="n">
        <f aca="false">COS($E$6*(23.4393-46.815*K77/3600))*Z77-SIN($E$6*(23.4393-46.815*K77/3600))*AA77</f>
        <v>0.100801741725436</v>
      </c>
      <c r="AC77" s="32" t="n">
        <f aca="false">SIN($E$6*(23.4393-46.815*K77/3600))*Z77+COS($E$6*(23.4393-46.815*K77/3600))*AA77</f>
        <v>-0.0181602705415134</v>
      </c>
      <c r="AD77" s="32" t="n">
        <f aca="false">SQRT(1-AC77*AC77)</f>
        <v>0.999835088689059</v>
      </c>
      <c r="AE77" s="31" t="n">
        <f aca="false">ATAN(AC77/AD77)/$E$6</f>
        <v>-1.04056405773433</v>
      </c>
      <c r="AF77" s="32" t="n">
        <f aca="false">IF(24*ATAN(AB77/(Y77+AD77))/PI()&gt;0,24*ATAN(AB77/(Y77+AD77))/PI(),24*ATAN(AB77/(Y77+AD77))/PI()+24)</f>
        <v>0.385753178040453</v>
      </c>
      <c r="AG77" s="31" t="n">
        <f aca="false">IF(L77-15*AF77&gt;0,L77-15*AF77,360+L77-15*AF77)</f>
        <v>283.090048762928</v>
      </c>
      <c r="AH77" s="29" t="n">
        <f aca="false">0.950724+0.051818*COS(O77)+0.009531*COS(2*Q77-O77)+0.007843*COS(2*Q77)+0.002824*COS(2*O77)+0.000857*COS(2*Q77+O77)+0.000533*COS(2*Q77-P77)*(1-0.002495*(J77-2415020)/36525)+0.000401*COS(2*Q77-P77-O77)*(1-0.002495*(J77-2415020)/36525)+0.00032*COS(O77-P77)*(1-0.002495*(J77-2415020)/36525)-0.000271*COS(Q77)</f>
        <v>0.957440005624444</v>
      </c>
      <c r="AI77" s="32" t="n">
        <f aca="false">ASIN(COS($E$6*$E$2)*COS($E$6*AE77)*COS($E$6*AG77)+SIN($E$6*$E$2)*SIN($E$6*AE77))/$E$6</f>
        <v>7.56462234985019</v>
      </c>
      <c r="AJ77" s="29" t="n">
        <f aca="false">ASIN((0.9983271+0.0016764*COS($E$6*2*$E$2))*COS($E$6*AI77)*SIN($E$6*AH77))/$E$6</f>
        <v>0.947242433846212</v>
      </c>
      <c r="AK77" s="29" t="n">
        <f aca="false">AI77-AJ77</f>
        <v>6.61737991600398</v>
      </c>
      <c r="AL77" s="31" t="n">
        <f aca="false"> MOD(280.4664567 + 360007.6982779*K77/10 + 0.03032028*K77^2/100 + K77^3/49931000,360)</f>
        <v>251.382127019257</v>
      </c>
      <c r="AM77" s="29" t="n">
        <f aca="false"> AL77 + (1.9146 - 0.004817*K77 - 0.000014*K77^2)*SIN(P77)+ (0.019993 - 0.000101*K77)*SIN(2*P77)+ 0.00029*SIN(3*P77)</f>
        <v>250.351305282746</v>
      </c>
      <c r="AN77" s="29" t="n">
        <f aca="false">ACOS(COS(V77-$E$6*AM77)*COS(X77))/$E$6</f>
        <v>114.505586416578</v>
      </c>
      <c r="AO77" s="24" t="n">
        <f aca="false">180 - AN77 -0.1468*(1-0.0549*SIN(P77))*SIN($E$6*AN77)/(1-0.0167*SIN($E$6*AM77))</f>
        <v>65.3590848793939</v>
      </c>
      <c r="AP77" s="48" t="n">
        <f aca="false">SIN($E$6*AG77)</f>
        <v>-0.974015317807405</v>
      </c>
      <c r="AQ77" s="48" t="n">
        <f aca="false">COS($E$6*AG77)*SIN($E$6*$E$2) - TAN($E$6*AE77)*COS($E$6*$E$2)</f>
        <v>0.185170508650636</v>
      </c>
      <c r="AR77" s="48" t="n">
        <f aca="false">IF(OR(AND(AP77*AQ77&gt;0), AND(AP77&lt;0,AQ77&gt;0)), MOD(ATAN2(AQ77,AP77)/$E$6+360,360),  ATAN2(AQ77,AP77)/$E$6)</f>
        <v>280.764075828515</v>
      </c>
      <c r="AS77" s="20" t="n">
        <f aca="false"> 385000.56 + (-20905355*COS(O77) - 3699111*COS(2*Q77-O77) - 2955968*COS(2*Q77) - 569925*COS(2*O77) + (1-0.002516*K77)*48888*COS(P77) - 3149*COS(2*R77)  +246158*COS(2*Q77-2*O77) -(1-0.002516*K77)*152138*COS(2*Q77-P77-O77) -170733*COS(2*Q77+O77) -(1-0.002516*K77)*204586*COS(2*Q77-P77) -(1-0.002516*K77)*129620*COS(P77-O77)  + 108743*COS(Q77) +(1-0.002516*K77)*104755*COS(P77+O77) +10321*COS(2*Q77-2*R77) +79661*COS(O77-2*R77) -34782*COS(4*Q77-O77) -23210*COS(3*O77)  -21636*COS(4*Q77-2*O77) +(1-0.002516*K77)*24208*COS(2*Q77+P77-O77) +(1-0.002516*K77)*30824*COS(2*Q77+P77) -8379*COS(Q77-O77) -(1-0.002516*K77)*16675*COS(Q77+P77)  -(1-0.002516*K77)*12831*COS(2*Q77-P77+O77) -10445*COS(2*Q77+2*O77) -11650*COS(4*Q77) +14403*COS(2*Q77-3*O77) -(1-0.002516*K77)*7003*COS(P77-2*O77)  + (1-0.002516*K77)*10056*COS(2*Q77-P77-2*O77) +6322*COS(Q77+O77) -(1-0.002516*K77)*(1-0.002516*K77)*9884*COS(2*Q77-2*P77) +(1-0.002516*K77)*5751*COS(P77+2*O77) -(1-0.002516*K77)*(1-0.002516*K77)*4950*COS(2*Q77-2*P77-O77)  +4130*COS(2*Q77+O77-2*R77) -(1-0.002516*K77)*3958*COS(4*Q77-P77-O77) +3258*COS(3*Q77-O77) +(1-0.002516*K77)*2616*COS(2*Q77+P77+O77) -(1-0.002516*K77)*1897*COS(4*Q77-P77-2*O77)  -(1-0.002516*K77)*(1-0.002516*K77)*2117*COS(2*P77-O77) +(1-0.002516*K77)*(1-0.002516*K77)*2354*COS(2*Q77+2*P77-O77) -1423*COS(4*Q77+O77) -1117*COS(4*O77) -(1-0.002516*K77)*1571*COS(4*Q77-P77)  -1739*COS(Q77-2*O77) -4421*COS(2*O77-2*R77) +(1-0.002516*K77)*(1-0.002516*K77)*1165*COS(2*P77+O77) +8752*COS(2*Q77-O77-2*R77))/1000</f>
        <v>381652.096569558</v>
      </c>
      <c r="AT77" s="24" t="n">
        <f aca="false">60*ATAN(3476/AS77)/$E$6</f>
        <v>31.3093455701606</v>
      </c>
      <c r="AU77" s="28" t="n">
        <f aca="false">ATAN(0.99664719*TAN($E$6*input!$D$2))</f>
        <v>0.871010436227447</v>
      </c>
      <c r="AV77" s="28" t="n">
        <f aca="false">COS(AU77)</f>
        <v>0.644053912545846</v>
      </c>
      <c r="AW77" s="28" t="n">
        <f aca="false">0.99664719*SIN(AU77)</f>
        <v>0.762415269897027</v>
      </c>
      <c r="AX77" s="28" t="n">
        <f aca="false">6378.14/AS77</f>
        <v>0.0167119218191889</v>
      </c>
      <c r="AY77" s="31" t="n">
        <f aca="false">L77-15*AF77</f>
        <v>283.090048762928</v>
      </c>
      <c r="AZ77" s="29" t="n">
        <f aca="false">COS($E$6*AE77)*SIN($E$6*AY77)</f>
        <v>-0.973854691664469</v>
      </c>
      <c r="BA77" s="29" t="n">
        <f aca="false">COS($E$6*AE77)*COS($E$6*AY77)-AV77*AX77</f>
        <v>0.215681413969073</v>
      </c>
      <c r="BB77" s="29" t="n">
        <f aca="false">SIN($E$6*AE77)-AW77*AX77</f>
        <v>-0.0309016949257884</v>
      </c>
      <c r="BC77" s="45" t="n">
        <f aca="false">SQRT(AZ77^2+BA77^2+BB77^2)</f>
        <v>0.997931033467685</v>
      </c>
      <c r="BD77" s="20" t="n">
        <f aca="false">AS77*BC77</f>
        <v>380862.471154768</v>
      </c>
      <c r="BE77" s="30" t="str">
        <f aca="false">IF(OR(AND(BD77&gt;BD76,BD77&gt;BD78),AND(BD77&lt;BD76,BD77&lt;BD78)),BD77,"")</f>
        <v/>
      </c>
    </row>
    <row r="78" customFormat="false" ht="15" hidden="false" customHeight="false" outlineLevel="0" collapsed="false">
      <c r="A78" s="31" t="n">
        <v>38</v>
      </c>
      <c r="F78" s="38" t="n">
        <f aca="false">AK78</f>
        <v>11.2738036357122</v>
      </c>
      <c r="G78" s="39" t="n">
        <f aca="false">F78+1.02/(TAN($E$6*(F78+10.3/(F78+5.11)))*60)</f>
        <v>11.3544571620025</v>
      </c>
      <c r="H78" s="38" t="n">
        <f aca="false">100*(1+COS($E$6*AO78))/2</f>
        <v>71.0490225703152</v>
      </c>
      <c r="I78" s="38" t="n">
        <f aca="false">IF(AG78&gt;180, AR78-180,AR78+180)</f>
        <v>106.450455076206</v>
      </c>
      <c r="J78" s="31" t="n">
        <f aca="false">J77+0.5/24</f>
        <v>2459916.08333334</v>
      </c>
      <c r="K78" s="47" t="n">
        <f aca="false">(J78-2451545)/36525</f>
        <v>0.22918777093327</v>
      </c>
      <c r="L78" s="31" t="n">
        <f aca="false">MOD(280.46061837+360.98564736629*(J78-2451545)+0.000387933*K78^2-K78^3/38710000+$E$4,360)</f>
        <v>296.396880809683</v>
      </c>
      <c r="M78" s="28" t="n">
        <f aca="false">0.606433+1336.855225*K78 - INT(0.606433+1336.855225*K78)</f>
        <v>0.997302078244843</v>
      </c>
      <c r="N78" s="31" t="n">
        <f aca="false">22640*SIN(O78)-4586*SIN(O78-2*Q78)+2370*SIN(2*Q78)+769*SIN(2*O78)-668*SIN(P78)-412*SIN(2*R78)-212*SIN(2*O78-2*Q78)-206*SIN(O78+P78-2*Q78)+192*SIN(O78+2*Q78)-165*SIN(P78-2*Q78)-125*SIN(Q78)-110*SIN(O78+P78)+148*SIN(O78-P78)-55*SIN(2*R78-2*Q78)</f>
        <v>22130.2249208517</v>
      </c>
      <c r="O78" s="29" t="n">
        <f aca="false">2*PI()*(0.374897+1325.55241*K78 - INT(0.374897+1325.55241*K78))</f>
        <v>1.10143674910881</v>
      </c>
      <c r="P78" s="32" t="n">
        <f aca="false">2*PI()*(0.993133+99.997361*K78 - INT(0.993133+99.997361*K78))</f>
        <v>5.72589986270992</v>
      </c>
      <c r="Q78" s="32" t="n">
        <f aca="false">2*PI()*(0.827361+1236.853086*K78 - INT(0.827361+1236.853086*K78))</f>
        <v>1.8784383724938</v>
      </c>
      <c r="R78" s="32" t="n">
        <f aca="false">2*PI()*(0.259086+1342.227825*K78 - INT(0.259086+1342.227825*K78))</f>
        <v>5.53730395827001</v>
      </c>
      <c r="S78" s="32" t="n">
        <f aca="false">R78+(N78+412*SIN(2*R78)+541*SIN(P78))/206264.8062</f>
        <v>5.64121593903076</v>
      </c>
      <c r="T78" s="32" t="n">
        <f aca="false">R78-2*Q78</f>
        <v>1.7804272132824</v>
      </c>
      <c r="U78" s="24" t="n">
        <f aca="false">-526*SIN(T78)+44*SIN(O78+T78)-31*SIN(-O78+T78)-23*SIN(P78+T78)+11*SIN(-P78+T78)-25*SIN(-2*O78+R78)+21*SIN(-O78+R78)</f>
        <v>-551.767454906841</v>
      </c>
      <c r="V78" s="32" t="n">
        <f aca="false">2*PI()*(M78+N78/1296000-INT(M78+N78/1296000))</f>
        <v>0.0903388157446779</v>
      </c>
      <c r="W78" s="31" t="n">
        <f aca="false">V78/$E$6</f>
        <v>5.17603286838003</v>
      </c>
      <c r="X78" s="32" t="n">
        <f aca="false">(18520*SIN(S78)+U78)/206264.8062</f>
        <v>-0.0564374522886731</v>
      </c>
      <c r="Y78" s="32" t="n">
        <f aca="false">COS(X78)*COS(V78)</f>
        <v>0.994336545763999</v>
      </c>
      <c r="Z78" s="32" t="n">
        <f aca="false">COS(X78)*SIN(V78)</f>
        <v>0.0900723492794305</v>
      </c>
      <c r="AA78" s="32" t="n">
        <f aca="false">SIN(X78)</f>
        <v>-0.0564074964291401</v>
      </c>
      <c r="AB78" s="32" t="n">
        <f aca="false">COS($E$6*(23.4393-46.815*K78/3600))*Z78-SIN($E$6*(23.4393-46.815*K78/3600))*AA78</f>
        <v>0.105076552246627</v>
      </c>
      <c r="AC78" s="32" t="n">
        <f aca="false">SIN($E$6*(23.4393-46.815*K78/3600))*Z78+COS($E$6*(23.4393-46.815*K78/3600))*AA78</f>
        <v>-0.0159295927782524</v>
      </c>
      <c r="AD78" s="32" t="n">
        <f aca="false">SQRT(1-AC78*AC78)</f>
        <v>0.999873115987183</v>
      </c>
      <c r="AE78" s="31" t="n">
        <f aca="false">ATAN(AC78/AD78)/$E$6</f>
        <v>-0.91273703979525</v>
      </c>
      <c r="AF78" s="32" t="n">
        <f aca="false">IF(24*ATAN(AB78/(Y78+AD78))/PI()&gt;0,24*ATAN(AB78/(Y78+AD78))/PI(),24*ATAN(AB78/(Y78+AD78))/PI()+24)</f>
        <v>0.402156355155653</v>
      </c>
      <c r="AG78" s="31" t="n">
        <f aca="false">IF(L78-15*AF78&gt;0,L78-15*AF78,360+L78-15*AF78)</f>
        <v>290.364535482349</v>
      </c>
      <c r="AH78" s="29" t="n">
        <f aca="false">0.950724+0.051818*COS(O78)+0.009531*COS(2*Q78-O78)+0.007843*COS(2*Q78)+0.002824*COS(2*O78)+0.000857*COS(2*Q78+O78)+0.000533*COS(2*Q78-P78)*(1-0.002495*(J78-2415020)/36525)+0.000401*COS(2*Q78-P78-O78)*(1-0.002495*(J78-2415020)/36525)+0.00032*COS(O78-P78)*(1-0.002495*(J78-2415020)/36525)-0.000271*COS(Q78)</f>
        <v>0.957236058414987</v>
      </c>
      <c r="AI78" s="32" t="n">
        <f aca="false">ASIN(COS($E$6*$E$2)*COS($E$6*AE78)*COS($E$6*AG78)+SIN($E$6*$E$2)*SIN($E$6*AE78))/$E$6</f>
        <v>12.2075550820849</v>
      </c>
      <c r="AJ78" s="29" t="n">
        <f aca="false">ASIN((0.9983271+0.0016764*COS($E$6*2*$E$2))*COS($E$6*AI78)*SIN($E$6*AH78))/$E$6</f>
        <v>0.933751446372696</v>
      </c>
      <c r="AK78" s="29" t="n">
        <f aca="false">AI78-AJ78</f>
        <v>11.2738036357122</v>
      </c>
      <c r="AL78" s="31" t="n">
        <f aca="false"> MOD(280.4664567 + 360007.6982779*K78/10 + 0.03032028*K78^2/100 + K78^3/49931000,360)</f>
        <v>251.402661339491</v>
      </c>
      <c r="AM78" s="29" t="n">
        <f aca="false"> AL78 + (1.9146 - 0.004817*K78 - 0.000014*K78^2)*SIN(P78)+ (0.019993 - 0.000101*K78)*SIN(2*P78)+ 0.00029*SIN(3*P78)</f>
        <v>250.372427799076</v>
      </c>
      <c r="AN78" s="29" t="n">
        <f aca="false">ACOS(COS(V78-$E$6*AM78)*COS(X78))/$E$6</f>
        <v>114.761453563972</v>
      </c>
      <c r="AO78" s="24" t="n">
        <f aca="false">180 - AN78 -0.1468*(1-0.0549*SIN(P78))*SIN($E$6*AN78)/(1-0.0167*SIN($E$6*AM78))</f>
        <v>65.1034970318315</v>
      </c>
      <c r="AP78" s="48" t="n">
        <f aca="false">SIN($E$6*AG78)</f>
        <v>-0.937497566475709</v>
      </c>
      <c r="AQ78" s="48" t="n">
        <f aca="false">COS($E$6*AG78)*SIN($E$6*$E$2) - TAN($E$6*AE78)*COS($E$6*$E$2)</f>
        <v>0.27681785087687</v>
      </c>
      <c r="AR78" s="48" t="n">
        <f aca="false">IF(OR(AND(AP78*AQ78&gt;0), AND(AP78&lt;0,AQ78&gt;0)), MOD(ATAN2(AQ78,AP78)/$E$6+360,360),  ATAN2(AQ78,AP78)/$E$6)</f>
        <v>286.450455076206</v>
      </c>
      <c r="AS78" s="20" t="n">
        <f aca="false"> 385000.56 + (-20905355*COS(O78) - 3699111*COS(2*Q78-O78) - 2955968*COS(2*Q78) - 569925*COS(2*O78) + (1-0.002516*K78)*48888*COS(P78) - 3149*COS(2*R78)  +246158*COS(2*Q78-2*O78) -(1-0.002516*K78)*152138*COS(2*Q78-P78-O78) -170733*COS(2*Q78+O78) -(1-0.002516*K78)*204586*COS(2*Q78-P78) -(1-0.002516*K78)*129620*COS(P78-O78)  + 108743*COS(Q78) +(1-0.002516*K78)*104755*COS(P78+O78) +10321*COS(2*Q78-2*R78) +79661*COS(O78-2*R78) -34782*COS(4*Q78-O78) -23210*COS(3*O78)  -21636*COS(4*Q78-2*O78) +(1-0.002516*K78)*24208*COS(2*Q78+P78-O78) +(1-0.002516*K78)*30824*COS(2*Q78+P78) -8379*COS(Q78-O78) -(1-0.002516*K78)*16675*COS(Q78+P78)  -(1-0.002516*K78)*12831*COS(2*Q78-P78+O78) -10445*COS(2*Q78+2*O78) -11650*COS(4*Q78) +14403*COS(2*Q78-3*O78) -(1-0.002516*K78)*7003*COS(P78-2*O78)  + (1-0.002516*K78)*10056*COS(2*Q78-P78-2*O78) +6322*COS(Q78+O78) -(1-0.002516*K78)*(1-0.002516*K78)*9884*COS(2*Q78-2*P78) +(1-0.002516*K78)*5751*COS(P78+2*O78) -(1-0.002516*K78)*(1-0.002516*K78)*4950*COS(2*Q78-2*P78-O78)  +4130*COS(2*Q78+O78-2*R78) -(1-0.002516*K78)*3958*COS(4*Q78-P78-O78) +3258*COS(3*Q78-O78) +(1-0.002516*K78)*2616*COS(2*Q78+P78+O78) -(1-0.002516*K78)*1897*COS(4*Q78-P78-2*O78)  -(1-0.002516*K78)*(1-0.002516*K78)*2117*COS(2*P78-O78) +(1-0.002516*K78)*(1-0.002516*K78)*2354*COS(2*Q78+2*P78-O78) -1423*COS(4*Q78+O78) -1117*COS(4*O78) -(1-0.002516*K78)*1571*COS(4*Q78-P78)  -1739*COS(Q78-2*O78) -4421*COS(2*O78-2*R78) +(1-0.002516*K78)*(1-0.002516*K78)*1165*COS(2*P78+O78) +8752*COS(2*Q78-O78-2*R78))/1000</f>
        <v>381733.112808919</v>
      </c>
      <c r="AT78" s="24" t="n">
        <f aca="false">60*ATAN(3476/AS78)/$E$6</f>
        <v>31.3027010713472</v>
      </c>
      <c r="AU78" s="28" t="n">
        <f aca="false">ATAN(0.99664719*TAN($E$6*input!$D$2))</f>
        <v>0.871010436227447</v>
      </c>
      <c r="AV78" s="28" t="n">
        <f aca="false">COS(AU78)</f>
        <v>0.644053912545846</v>
      </c>
      <c r="AW78" s="28" t="n">
        <f aca="false">0.99664719*SIN(AU78)</f>
        <v>0.762415269897027</v>
      </c>
      <c r="AX78" s="28" t="n">
        <f aca="false">6378.14/AS78</f>
        <v>0.0167083750033303</v>
      </c>
      <c r="AY78" s="31" t="n">
        <f aca="false">L78-15*AF78</f>
        <v>290.364535482349</v>
      </c>
      <c r="AZ78" s="29" t="n">
        <f aca="false">COS($E$6*AE78)*SIN($E$6*AY78)</f>
        <v>-0.937378613022468</v>
      </c>
      <c r="BA78" s="29" t="n">
        <f aca="false">COS($E$6*AE78)*COS($E$6*AY78)-AV78*AX78</f>
        <v>0.337186579821757</v>
      </c>
      <c r="BB78" s="29" t="n">
        <f aca="false">SIN($E$6*AE78)-AW78*AX78</f>
        <v>-0.0286683130159572</v>
      </c>
      <c r="BC78" s="45" t="n">
        <f aca="false">SQRT(AZ78^2+BA78^2+BB78^2)</f>
        <v>0.996591855242155</v>
      </c>
      <c r="BD78" s="20" t="n">
        <f aca="false">AS78*BC78</f>
        <v>380432.111101604</v>
      </c>
      <c r="BE78" s="30" t="str">
        <f aca="false">IF(OR(AND(BD78&gt;BD77,BD78&gt;BD79),AND(BD78&lt;BD77,BD78&lt;BD79)),BD78,"")</f>
        <v/>
      </c>
    </row>
    <row r="79" customFormat="false" ht="15" hidden="false" customHeight="false" outlineLevel="0" collapsed="false">
      <c r="A79" s="31" t="n">
        <v>38.5</v>
      </c>
      <c r="F79" s="38" t="n">
        <f aca="false">AK79</f>
        <v>15.8035969505595</v>
      </c>
      <c r="G79" s="39" t="n">
        <f aca="false">F79+1.02/(TAN($E$6*(F79+10.3/(F79+5.11)))*60)</f>
        <v>15.8617471115784</v>
      </c>
      <c r="H79" s="38" t="n">
        <f aca="false">100*(1+COS($E$6*AO79))/2</f>
        <v>71.2510378543312</v>
      </c>
      <c r="I79" s="38" t="n">
        <f aca="false">IF(AG79&gt;180, AR79-180,AR79+180)</f>
        <v>112.346872910495</v>
      </c>
      <c r="J79" s="31" t="n">
        <f aca="false">J78+0.5/24</f>
        <v>2459916.10416667</v>
      </c>
      <c r="K79" s="47" t="n">
        <f aca="false">(J79-2451545)/36525</f>
        <v>0.229188341318855</v>
      </c>
      <c r="L79" s="31" t="n">
        <f aca="false">MOD(280.46061837+360.98564736629*(J79-2451545)+0.000387933*K79^2-K79^3/38710000+$E$4,360)</f>
        <v>303.917415185832</v>
      </c>
      <c r="M79" s="28" t="n">
        <f aca="false">0.606433+1336.855225*K79 - INT(0.606433+1336.855225*K79)</f>
        <v>0.998064601194301</v>
      </c>
      <c r="N79" s="31" t="n">
        <f aca="false">22640*SIN(O79)-4586*SIN(O79-2*Q79)+2370*SIN(2*Q79)+769*SIN(2*O79)-668*SIN(P79)-412*SIN(2*R79)-212*SIN(2*O79-2*Q79)-206*SIN(O79+P79-2*Q79)+192*SIN(O79+2*Q79)-165*SIN(P79-2*Q79)-125*SIN(Q79)-110*SIN(O79+P79)+148*SIN(O79-P79)-55*SIN(2*R79-2*Q79)</f>
        <v>22138.6529594345</v>
      </c>
      <c r="O79" s="29" t="n">
        <f aca="false">2*PI()*(0.374897+1325.55241*K79 - INT(0.374897+1325.55241*K79))</f>
        <v>1.10618731463929</v>
      </c>
      <c r="P79" s="32" t="n">
        <f aca="false">2*PI()*(0.993133+99.997361*K79 - INT(0.993133+99.997361*K79))</f>
        <v>5.72625823708481</v>
      </c>
      <c r="Q79" s="32" t="n">
        <f aca="false">2*PI()*(0.827361+1236.853086*K79 - INT(0.827361+1236.853086*K79))</f>
        <v>1.88287105398742</v>
      </c>
      <c r="R79" s="32" t="n">
        <f aca="false">2*PI()*(0.259086+1342.227825*K79 - INT(0.259086+1342.227825*K79))</f>
        <v>5.54211428579196</v>
      </c>
      <c r="S79" s="32" t="n">
        <f aca="false">R79+(N79+412*SIN(2*R79)+541*SIN(P79))/206264.8062</f>
        <v>5.64606953396683</v>
      </c>
      <c r="T79" s="32" t="n">
        <f aca="false">R79-2*Q79</f>
        <v>1.77637217781711</v>
      </c>
      <c r="U79" s="24" t="n">
        <f aca="false">-526*SIN(T79)+44*SIN(O79+T79)-31*SIN(-O79+T79)-23*SIN(P79+T79)+11*SIN(-P79+T79)-25*SIN(-2*O79+R79)+21*SIN(-O79+R79)</f>
        <v>-552.076251574065</v>
      </c>
      <c r="V79" s="32" t="n">
        <f aca="false">2*PI()*(M79+N79/1296000-INT(M79+N79/1296000))</f>
        <v>0.0951707490211976</v>
      </c>
      <c r="W79" s="31" t="n">
        <f aca="false">V79/$E$6</f>
        <v>5.45288225201343</v>
      </c>
      <c r="X79" s="32" t="n">
        <f aca="false">(18520*SIN(S79)+U79)/206264.8062</f>
        <v>-0.0560892836947509</v>
      </c>
      <c r="Y79" s="32" t="n">
        <f aca="false">COS(X79)*COS(V79)</f>
        <v>0.993909206426567</v>
      </c>
      <c r="Z79" s="32" t="n">
        <f aca="false">COS(X79)*SIN(V79)</f>
        <v>0.0948777074614293</v>
      </c>
      <c r="AA79" s="32" t="n">
        <f aca="false">SIN(X79)</f>
        <v>-0.056059878767049</v>
      </c>
      <c r="AB79" s="32" t="n">
        <f aca="false">COS($E$6*(23.4393-46.815*K79/3600))*Z79-SIN($E$6*(23.4393-46.815*K79/3600))*AA79</f>
        <v>0.109347223481961</v>
      </c>
      <c r="AC79" s="32" t="n">
        <f aca="false">SIN($E$6*(23.4393-46.815*K79/3600))*Z79+COS($E$6*(23.4393-46.815*K79/3600))*AA79</f>
        <v>-0.0136994195971509</v>
      </c>
      <c r="AD79" s="32" t="n">
        <f aca="false">SQRT(1-AC79*AC79)</f>
        <v>0.999906158548242</v>
      </c>
      <c r="AE79" s="31" t="n">
        <f aca="false">ATAN(AC79/AD79)/$E$6</f>
        <v>-0.784943478261019</v>
      </c>
      <c r="AF79" s="32" t="n">
        <f aca="false">IF(24*ATAN(AB79/(Y79+AD79))/PI()&gt;0,24*ATAN(AB79/(Y79+AD79))/PI(),24*ATAN(AB79/(Y79+AD79))/PI()+24)</f>
        <v>0.418551918268505</v>
      </c>
      <c r="AG79" s="31" t="n">
        <f aca="false">IF(L79-15*AF79&gt;0,L79-15*AF79,360+L79-15*AF79)</f>
        <v>297.639136411804</v>
      </c>
      <c r="AH79" s="29" t="n">
        <f aca="false">0.950724+0.051818*COS(O79)+0.009531*COS(2*Q79-O79)+0.007843*COS(2*Q79)+0.002824*COS(2*O79)+0.000857*COS(2*Q79+O79)+0.000533*COS(2*Q79-P79)*(1-0.002495*(J79-2415020)/36525)+0.000401*COS(2*Q79-P79-O79)*(1-0.002495*(J79-2415020)/36525)+0.00032*COS(O79-P79)*(1-0.002495*(J79-2415020)/36525)-0.000271*COS(Q79)</f>
        <v>0.957032375285274</v>
      </c>
      <c r="AI79" s="32" t="n">
        <f aca="false">ASIN(COS($E$6*$E$2)*COS($E$6*AE79)*COS($E$6*AG79)+SIN($E$6*$E$2)*SIN($E$6*AE79))/$E$6</f>
        <v>16.7183720191075</v>
      </c>
      <c r="AJ79" s="29" t="n">
        <f aca="false">ASIN((0.9983271+0.0016764*COS($E$6*2*$E$2))*COS($E$6*AI79)*SIN($E$6*AH79))/$E$6</f>
        <v>0.914775068548034</v>
      </c>
      <c r="AK79" s="29" t="n">
        <f aca="false">AI79-AJ79</f>
        <v>15.8035969505595</v>
      </c>
      <c r="AL79" s="31" t="n">
        <f aca="false"> MOD(280.4664567 + 360007.6982779*K79/10 + 0.03032028*K79^2/100 + K79^3/49931000,360)</f>
        <v>251.423195659727</v>
      </c>
      <c r="AM79" s="29" t="n">
        <f aca="false"> AL79 + (1.9146 - 0.004817*K79 - 0.000014*K79^2)*SIN(P79)+ (0.019993 - 0.000101*K79)*SIN(2*P79)+ 0.00029*SIN(3*P79)</f>
        <v>250.393550454924</v>
      </c>
      <c r="AN79" s="29" t="n">
        <f aca="false">ACOS(COS(V79-$E$6*AM79)*COS(X79))/$E$6</f>
        <v>115.017209732432</v>
      </c>
      <c r="AO79" s="24" t="n">
        <f aca="false">180 - AN79 -0.1468*(1-0.0549*SIN(P79))*SIN($E$6*AN79)/(1-0.0167*SIN($E$6*AM79))</f>
        <v>64.8480227246649</v>
      </c>
      <c r="AP79" s="48" t="n">
        <f aca="false">SIN($E$6*AG79)</f>
        <v>-0.885886913878643</v>
      </c>
      <c r="AQ79" s="48" t="n">
        <f aca="false">COS($E$6*AG79)*SIN($E$6*$E$2) - TAN($E$6*AE79)*COS($E$6*$E$2)</f>
        <v>0.36417562333287</v>
      </c>
      <c r="AR79" s="48" t="n">
        <f aca="false">IF(OR(AND(AP79*AQ79&gt;0), AND(AP79&lt;0,AQ79&gt;0)), MOD(ATAN2(AQ79,AP79)/$E$6+360,360),  ATAN2(AQ79,AP79)/$E$6)</f>
        <v>292.346872910495</v>
      </c>
      <c r="AS79" s="20" t="n">
        <f aca="false"> 385000.56 + (-20905355*COS(O79) - 3699111*COS(2*Q79-O79) - 2955968*COS(2*Q79) - 569925*COS(2*O79) + (1-0.002516*K79)*48888*COS(P79) - 3149*COS(2*R79)  +246158*COS(2*Q79-2*O79) -(1-0.002516*K79)*152138*COS(2*Q79-P79-O79) -170733*COS(2*Q79+O79) -(1-0.002516*K79)*204586*COS(2*Q79-P79) -(1-0.002516*K79)*129620*COS(P79-O79)  + 108743*COS(Q79) +(1-0.002516*K79)*104755*COS(P79+O79) +10321*COS(2*Q79-2*R79) +79661*COS(O79-2*R79) -34782*COS(4*Q79-O79) -23210*COS(3*O79)  -21636*COS(4*Q79-2*O79) +(1-0.002516*K79)*24208*COS(2*Q79+P79-O79) +(1-0.002516*K79)*30824*COS(2*Q79+P79) -8379*COS(Q79-O79) -(1-0.002516*K79)*16675*COS(Q79+P79)  -(1-0.002516*K79)*12831*COS(2*Q79-P79+O79) -10445*COS(2*Q79+2*O79) -11650*COS(4*Q79) +14403*COS(2*Q79-3*O79) -(1-0.002516*K79)*7003*COS(P79-2*O79)  + (1-0.002516*K79)*10056*COS(2*Q79-P79-2*O79) +6322*COS(Q79+O79) -(1-0.002516*K79)*(1-0.002516*K79)*9884*COS(2*Q79-2*P79) +(1-0.002516*K79)*5751*COS(P79+2*O79) -(1-0.002516*K79)*(1-0.002516*K79)*4950*COS(2*Q79-2*P79-O79)  +4130*COS(2*Q79+O79-2*R79) -(1-0.002516*K79)*3958*COS(4*Q79-P79-O79) +3258*COS(3*Q79-O79) +(1-0.002516*K79)*2616*COS(2*Q79+P79+O79) -(1-0.002516*K79)*1897*COS(4*Q79-P79-2*O79)  -(1-0.002516*K79)*(1-0.002516*K79)*2117*COS(2*P79-O79) +(1-0.002516*K79)*(1-0.002516*K79)*2354*COS(2*Q79+2*P79-O79) -1423*COS(4*Q79+O79) -1117*COS(4*O79) -(1-0.002516*K79)*1571*COS(4*Q79-P79)  -1739*COS(Q79-2*O79) -4421*COS(2*O79-2*R79) +(1-0.002516*K79)*(1-0.002516*K79)*1165*COS(2*P79+O79) +8752*COS(2*Q79-O79-2*R79))/1000</f>
        <v>381814.074252584</v>
      </c>
      <c r="AT79" s="24" t="n">
        <f aca="false">60*ATAN(3476/AS79)/$E$6</f>
        <v>31.2960638832383</v>
      </c>
      <c r="AU79" s="28" t="n">
        <f aca="false">ATAN(0.99664719*TAN($E$6*input!$D$2))</f>
        <v>0.871010436227447</v>
      </c>
      <c r="AV79" s="28" t="n">
        <f aca="false">COS(AU79)</f>
        <v>0.644053912545846</v>
      </c>
      <c r="AW79" s="28" t="n">
        <f aca="false">0.99664719*SIN(AU79)</f>
        <v>0.762415269897027</v>
      </c>
      <c r="AX79" s="28" t="n">
        <f aca="false">6378.14/AS79</f>
        <v>0.0167048320900309</v>
      </c>
      <c r="AY79" s="31" t="n">
        <f aca="false">L79-15*AF79</f>
        <v>297.639136411804</v>
      </c>
      <c r="AZ79" s="29" t="n">
        <f aca="false">COS($E$6*AE79)*SIN($E$6*AY79)</f>
        <v>-0.885803780964551</v>
      </c>
      <c r="BA79" s="29" t="n">
        <f aca="false">COS($E$6*AE79)*COS($E$6*AY79)-AV79*AX79</f>
        <v>0.453098910905727</v>
      </c>
      <c r="BB79" s="29" t="n">
        <f aca="false">SIN($E$6*AE79)-AW79*AX79</f>
        <v>-0.0264354386636563</v>
      </c>
      <c r="BC79" s="45" t="n">
        <f aca="false">SQRT(AZ79^2+BA79^2+BB79^2)</f>
        <v>0.995311907822061</v>
      </c>
      <c r="BD79" s="20" t="n">
        <f aca="false">AS79*BC79</f>
        <v>380024.094677653</v>
      </c>
      <c r="BE79" s="30" t="str">
        <f aca="false">IF(OR(AND(BD79&gt;BD78,BD79&gt;BD80),AND(BD79&lt;BD78,BD79&lt;BD80)),BD79,"")</f>
        <v/>
      </c>
    </row>
    <row r="80" customFormat="false" ht="15" hidden="false" customHeight="false" outlineLevel="0" collapsed="false">
      <c r="A80" s="31" t="n">
        <v>39</v>
      </c>
      <c r="F80" s="38" t="n">
        <f aca="false">AK80</f>
        <v>20.1527666800527</v>
      </c>
      <c r="G80" s="39" t="n">
        <f aca="false">F80+1.02/(TAN($E$6*(F80+10.3/(F80+5.11)))*60)</f>
        <v>20.1980893395864</v>
      </c>
      <c r="H80" s="38" t="n">
        <f aca="false">100*(1+COS($E$6*AO80))/2</f>
        <v>71.452541302859</v>
      </c>
      <c r="I80" s="38" t="n">
        <f aca="false">IF(AG80&gt;180, AR80-180,AR80+180)</f>
        <v>118.531457104577</v>
      </c>
      <c r="J80" s="31" t="n">
        <f aca="false">J79+0.5/24</f>
        <v>2459916.125</v>
      </c>
      <c r="K80" s="47" t="n">
        <f aca="false">(J80-2451545)/36525</f>
        <v>0.22918891170444</v>
      </c>
      <c r="L80" s="31" t="n">
        <f aca="false">MOD(280.46061837+360.98564736629*(J80-2451545)+0.000387933*K80^2-K80^3/38710000+$E$4,360)</f>
        <v>311.437949562445</v>
      </c>
      <c r="M80" s="28" t="n">
        <f aca="false">0.606433+1336.855225*K80 - INT(0.606433+1336.855225*K80)</f>
        <v>0.998827124143759</v>
      </c>
      <c r="N80" s="31" t="n">
        <f aca="false">22640*SIN(O80)-4586*SIN(O80-2*Q80)+2370*SIN(2*Q80)+769*SIN(2*O80)-668*SIN(P80)-412*SIN(2*R80)-212*SIN(2*O80-2*Q80)-206*SIN(O80+P80-2*Q80)+192*SIN(O80+2*Q80)-165*SIN(P80-2*Q80)-125*SIN(Q80)-110*SIN(O80+P80)+148*SIN(O80-P80)-55*SIN(2*R80-2*Q80)</f>
        <v>22146.6507802595</v>
      </c>
      <c r="O80" s="29" t="n">
        <f aca="false">2*PI()*(0.374897+1325.55241*K80 - INT(0.374897+1325.55241*K80))</f>
        <v>1.11093788017012</v>
      </c>
      <c r="P80" s="32" t="n">
        <f aca="false">2*PI()*(0.993133+99.997361*K80 - INT(0.993133+99.997361*K80))</f>
        <v>5.72661661145971</v>
      </c>
      <c r="Q80" s="32" t="n">
        <f aca="false">2*PI()*(0.827361+1236.853086*K80 - INT(0.827361+1236.853086*K80))</f>
        <v>1.8873037354814</v>
      </c>
      <c r="R80" s="32" t="n">
        <f aca="false">2*PI()*(0.259086+1342.227825*K80 - INT(0.259086+1342.227825*K80))</f>
        <v>5.54692461331391</v>
      </c>
      <c r="S80" s="32" t="n">
        <f aca="false">R80+(N80+412*SIN(2*R80)+541*SIN(P80))/206264.8062</f>
        <v>5.65092122747529</v>
      </c>
      <c r="T80" s="32" t="n">
        <f aca="false">R80-2*Q80</f>
        <v>1.77231714235111</v>
      </c>
      <c r="U80" s="24" t="n">
        <f aca="false">-526*SIN(T80)+44*SIN(O80+T80)-31*SIN(-O80+T80)-23*SIN(P80+T80)+11*SIN(-P80+T80)-25*SIN(-2*O80+R80)+21*SIN(-O80+R80)</f>
        <v>-552.375056291477</v>
      </c>
      <c r="V80" s="32" t="n">
        <f aca="false">2*PI()*(M80+N80/1296000-INT(M80+N80/1296000))</f>
        <v>0.10000059654317</v>
      </c>
      <c r="W80" s="31" t="n">
        <f aca="false">V80/$E$6</f>
        <v>5.72961213071416</v>
      </c>
      <c r="X80" s="32" t="n">
        <f aca="false">(18520*SIN(S80)+U80)/206264.8062</f>
        <v>-0.0557399461185296</v>
      </c>
      <c r="Y80" s="32" t="n">
        <f aca="false">COS(X80)*COS(V80)</f>
        <v>0.993458796063187</v>
      </c>
      <c r="Z80" s="32" t="n">
        <f aca="false">COS(X80)*SIN(V80)</f>
        <v>0.0996789611406465</v>
      </c>
      <c r="AA80" s="32" t="n">
        <f aca="false">SIN(X80)</f>
        <v>-0.0557110871425514</v>
      </c>
      <c r="AB80" s="32" t="n">
        <f aca="false">COS($E$6*(23.4393-46.815*K80/3600))*Z80-SIN($E$6*(23.4393-46.815*K80/3600))*AA80</f>
        <v>0.113613661905961</v>
      </c>
      <c r="AC80" s="32" t="n">
        <f aca="false">SIN($E$6*(23.4393-46.815*K80/3600))*Z80+COS($E$6*(23.4393-46.815*K80/3600))*AA80</f>
        <v>-0.0114698017856237</v>
      </c>
      <c r="AD80" s="32" t="n">
        <f aca="false">SQRT(1-AC80*AC80)</f>
        <v>0.999934219659973</v>
      </c>
      <c r="AE80" s="31" t="n">
        <f aca="false">ATAN(AC80/AD80)/$E$6</f>
        <v>-0.657185644196095</v>
      </c>
      <c r="AF80" s="32" t="n">
        <f aca="false">IF(24*ATAN(AB80/(Y80+AD80))/PI()&gt;0,24*ATAN(AB80/(Y80+AD80))/PI(),24*ATAN(AB80/(Y80+AD80))/PI()+24)</f>
        <v>0.434940044927641</v>
      </c>
      <c r="AG80" s="31" t="n">
        <f aca="false">IF(L80-15*AF80&gt;0,L80-15*AF80,360+L80-15*AF80)</f>
        <v>304.913848888531</v>
      </c>
      <c r="AH80" s="29" t="n">
        <f aca="false">0.950724+0.051818*COS(O80)+0.009531*COS(2*Q80-O80)+0.007843*COS(2*Q80)+0.002824*COS(2*O80)+0.000857*COS(2*Q80+O80)+0.000533*COS(2*Q80-P80)*(1-0.002495*(J80-2415020)/36525)+0.000401*COS(2*Q80-P80-O80)*(1-0.002495*(J80-2415020)/36525)+0.00032*COS(O80-P80)*(1-0.002495*(J80-2415020)/36525)-0.000271*COS(Q80)</f>
        <v>0.956828957841008</v>
      </c>
      <c r="AI80" s="32" t="n">
        <f aca="false">ASIN(COS($E$6*$E$2)*COS($E$6*AE80)*COS($E$6*AG80)+SIN($E$6*$E$2)*SIN($E$6*AE80))/$E$6</f>
        <v>21.0440203902933</v>
      </c>
      <c r="AJ80" s="29" t="n">
        <f aca="false">ASIN((0.9983271+0.0016764*COS($E$6*2*$E$2))*COS($E$6*AI80)*SIN($E$6*AH80))/$E$6</f>
        <v>0.891253710240655</v>
      </c>
      <c r="AK80" s="29" t="n">
        <f aca="false">AI80-AJ80</f>
        <v>20.1527666800527</v>
      </c>
      <c r="AL80" s="31" t="n">
        <f aca="false"> MOD(280.4664567 + 360007.6982779*K80/10 + 0.03032028*K80^2/100 + K80^3/49931000,360)</f>
        <v>251.443729979959</v>
      </c>
      <c r="AM80" s="29" t="n">
        <f aca="false"> AL80 + (1.9146 - 0.004817*K80 - 0.000014*K80^2)*SIN(P80)+ (0.019993 - 0.000101*K80)*SIN(2*P80)+ 0.00029*SIN(3*P80)</f>
        <v>250.414673250209</v>
      </c>
      <c r="AN80" s="29" t="n">
        <f aca="false">ACOS(COS(V80-$E$6*AM80)*COS(X80))/$E$6</f>
        <v>115.272855123269</v>
      </c>
      <c r="AO80" s="24" t="n">
        <f aca="false">180 - AN80 -0.1468*(1-0.0549*SIN(P80))*SIN($E$6*AN80)/(1-0.0167*SIN($E$6*AM80))</f>
        <v>64.5926617475963</v>
      </c>
      <c r="AP80" s="48" t="n">
        <f aca="false">SIN($E$6*AG80)</f>
        <v>-0.820013559280443</v>
      </c>
      <c r="AQ80" s="48" t="n">
        <f aca="false">COS($E$6*AG80)*SIN($E$6*$E$2) - TAN($E$6*AE80)*COS($E$6*$E$2)</f>
        <v>0.445814144682495</v>
      </c>
      <c r="AR80" s="48" t="n">
        <f aca="false">IF(OR(AND(AP80*AQ80&gt;0), AND(AP80&lt;0,AQ80&gt;0)), MOD(ATAN2(AQ80,AP80)/$E$6+360,360),  ATAN2(AQ80,AP80)/$E$6)</f>
        <v>298.531457104577</v>
      </c>
      <c r="AS80" s="20" t="n">
        <f aca="false"> 385000.56 + (-20905355*COS(O80) - 3699111*COS(2*Q80-O80) - 2955968*COS(2*Q80) - 569925*COS(2*O80) + (1-0.002516*K80)*48888*COS(P80) - 3149*COS(2*R80)  +246158*COS(2*Q80-2*O80) -(1-0.002516*K80)*152138*COS(2*Q80-P80-O80) -170733*COS(2*Q80+O80) -(1-0.002516*K80)*204586*COS(2*Q80-P80) -(1-0.002516*K80)*129620*COS(P80-O80)  + 108743*COS(Q80) +(1-0.002516*K80)*104755*COS(P80+O80) +10321*COS(2*Q80-2*R80) +79661*COS(O80-2*R80) -34782*COS(4*Q80-O80) -23210*COS(3*O80)  -21636*COS(4*Q80-2*O80) +(1-0.002516*K80)*24208*COS(2*Q80+P80-O80) +(1-0.002516*K80)*30824*COS(2*Q80+P80) -8379*COS(Q80-O80) -(1-0.002516*K80)*16675*COS(Q80+P80)  -(1-0.002516*K80)*12831*COS(2*Q80-P80+O80) -10445*COS(2*Q80+2*O80) -11650*COS(4*Q80) +14403*COS(2*Q80-3*O80) -(1-0.002516*K80)*7003*COS(P80-2*O80)  + (1-0.002516*K80)*10056*COS(2*Q80-P80-2*O80) +6322*COS(Q80+O80) -(1-0.002516*K80)*(1-0.002516*K80)*9884*COS(2*Q80-2*P80) +(1-0.002516*K80)*5751*COS(P80+2*O80) -(1-0.002516*K80)*(1-0.002516*K80)*4950*COS(2*Q80-2*P80-O80)  +4130*COS(2*Q80+O80-2*R80) -(1-0.002516*K80)*3958*COS(4*Q80-P80-O80) +3258*COS(3*Q80-O80) +(1-0.002516*K80)*2616*COS(2*Q80+P80+O80) -(1-0.002516*K80)*1897*COS(4*Q80-P80-2*O80)  -(1-0.002516*K80)*(1-0.002516*K80)*2117*COS(2*P80-O80) +(1-0.002516*K80)*(1-0.002516*K80)*2354*COS(2*Q80+2*P80-O80) -1423*COS(4*Q80+O80) -1117*COS(4*O80) -(1-0.002516*K80)*1571*COS(4*Q80-P80)  -1739*COS(Q80-2*O80) -4421*COS(2*O80-2*R80) +(1-0.002516*K80)*(1-0.002516*K80)*1165*COS(2*P80+O80) +8752*COS(2*Q80-O80-2*R80))/1000</f>
        <v>381894.980103926</v>
      </c>
      <c r="AT80" s="24" t="n">
        <f aca="false">60*ATAN(3476/AS80)/$E$6</f>
        <v>31.2894340635934</v>
      </c>
      <c r="AU80" s="28" t="n">
        <f aca="false">ATAN(0.99664719*TAN($E$6*input!$D$2))</f>
        <v>0.871010436227447</v>
      </c>
      <c r="AV80" s="28" t="n">
        <f aca="false">COS(AU80)</f>
        <v>0.644053912545846</v>
      </c>
      <c r="AW80" s="28" t="n">
        <f aca="false">0.99664719*SIN(AU80)</f>
        <v>0.762415269897027</v>
      </c>
      <c r="AX80" s="28" t="n">
        <f aca="false">6378.14/AS80</f>
        <v>0.0167012931101223</v>
      </c>
      <c r="AY80" s="31" t="n">
        <f aca="false">L80-15*AF80</f>
        <v>304.913848888531</v>
      </c>
      <c r="AZ80" s="29" t="n">
        <f aca="false">COS($E$6*AE80)*SIN($E$6*AY80)</f>
        <v>-0.819959618509687</v>
      </c>
      <c r="BA80" s="29" t="n">
        <f aca="false">COS($E$6*AE80)*COS($E$6*AY80)-AV80*AX80</f>
        <v>0.56154991241487</v>
      </c>
      <c r="BB80" s="29" t="n">
        <f aca="false">SIN($E$6*AE80)-AW80*AX80</f>
        <v>-0.024203122679807</v>
      </c>
      <c r="BC80" s="45" t="n">
        <f aca="false">SQRT(AZ80^2+BA80^2+BB80^2)</f>
        <v>0.99411159900041</v>
      </c>
      <c r="BD80" s="20" t="n">
        <f aca="false">AS80*BC80</f>
        <v>379646.229321344</v>
      </c>
      <c r="BE80" s="30" t="str">
        <f aca="false">IF(OR(AND(BD80&gt;BD79,BD80&gt;BD81),AND(BD80&lt;BD79,BD80&lt;BD81)),BD80,"")</f>
        <v/>
      </c>
    </row>
    <row r="81" customFormat="false" ht="15" hidden="false" customHeight="false" outlineLevel="0" collapsed="false">
      <c r="A81" s="31" t="n">
        <v>39.5</v>
      </c>
      <c r="F81" s="38" t="n">
        <f aca="false">AK81</f>
        <v>24.2598114785635</v>
      </c>
      <c r="G81" s="39" t="n">
        <f aca="false">F81+1.02/(TAN($E$6*(F81+10.3/(F81+5.11)))*60)</f>
        <v>24.296924708063</v>
      </c>
      <c r="H81" s="38" t="n">
        <f aca="false">100*(1+COS($E$6*AO81))/2</f>
        <v>71.6535296431983</v>
      </c>
      <c r="I81" s="38" t="n">
        <f aca="false">IF(AG81&gt;180, AR81-180,AR81+180)</f>
        <v>125.08219973862</v>
      </c>
      <c r="J81" s="31" t="n">
        <f aca="false">J80+0.5/24</f>
        <v>2459916.14583334</v>
      </c>
      <c r="K81" s="47" t="n">
        <f aca="false">(J81-2451545)/36525</f>
        <v>0.229189482090025</v>
      </c>
      <c r="L81" s="31" t="n">
        <f aca="false">MOD(280.46061837+360.98564736629*(J81-2451545)+0.000387933*K81^2-K81^3/38710000+$E$4,360)</f>
        <v>318.958483938593</v>
      </c>
      <c r="M81" s="28" t="n">
        <f aca="false">0.606433+1336.855225*K81 - INT(0.606433+1336.855225*K81)</f>
        <v>0.99958964709316</v>
      </c>
      <c r="N81" s="31" t="n">
        <f aca="false">22640*SIN(O81)-4586*SIN(O81-2*Q81)+2370*SIN(2*Q81)+769*SIN(2*O81)-668*SIN(P81)-412*SIN(2*R81)-212*SIN(2*O81-2*Q81)-206*SIN(O81+P81-2*Q81)+192*SIN(O81+2*Q81)-165*SIN(P81-2*Q81)-125*SIN(Q81)-110*SIN(O81+P81)+148*SIN(O81-P81)-55*SIN(2*R81-2*Q81)</f>
        <v>22154.2193306436</v>
      </c>
      <c r="O81" s="29" t="n">
        <f aca="false">2*PI()*(0.374897+1325.55241*K81 - INT(0.374897+1325.55241*K81))</f>
        <v>1.11568844570096</v>
      </c>
      <c r="P81" s="32" t="n">
        <f aca="false">2*PI()*(0.993133+99.997361*K81 - INT(0.993133+99.997361*K81))</f>
        <v>5.7269749858346</v>
      </c>
      <c r="Q81" s="32" t="n">
        <f aca="false">2*PI()*(0.827361+1236.853086*K81 - INT(0.827361+1236.853086*K81))</f>
        <v>1.89173641697538</v>
      </c>
      <c r="R81" s="32" t="n">
        <f aca="false">2*PI()*(0.259086+1342.227825*K81 - INT(0.259086+1342.227825*K81))</f>
        <v>5.55173494083621</v>
      </c>
      <c r="S81" s="32" t="n">
        <f aca="false">R81+(N81+412*SIN(2*R81)+541*SIN(P81))/206264.8062</f>
        <v>5.65577102398313</v>
      </c>
      <c r="T81" s="32" t="n">
        <f aca="false">R81-2*Q81</f>
        <v>1.76826210688546</v>
      </c>
      <c r="U81" s="24" t="n">
        <f aca="false">-526*SIN(T81)+44*SIN(O81+T81)-31*SIN(-O81+T81)-23*SIN(P81+T81)+11*SIN(-P81+T81)-25*SIN(-2*O81+R81)+21*SIN(-O81+R81)</f>
        <v>-552.663877118016</v>
      </c>
      <c r="V81" s="32" t="n">
        <f aca="false">2*PI()*(M81+N81/1296000-INT(M81+N81/1296000))</f>
        <v>0.104828362902957</v>
      </c>
      <c r="W81" s="31" t="n">
        <f aca="false">V81/$E$6</f>
        <v>6.00622276760518</v>
      </c>
      <c r="X81" s="32" t="n">
        <f aca="false">(18520*SIN(S81)+U81)/206264.8062</f>
        <v>-0.0553894490077709</v>
      </c>
      <c r="Y81" s="32" t="n">
        <f aca="false">COS(X81)*COS(V81)</f>
        <v>0.992985352176846</v>
      </c>
      <c r="Z81" s="32" t="n">
        <f aca="false">COS(X81)*SIN(V81)</f>
        <v>0.104476004616952</v>
      </c>
      <c r="AA81" s="32" t="n">
        <f aca="false">SIN(X81)</f>
        <v>-0.0553611309630202</v>
      </c>
      <c r="AB81" s="32" t="n">
        <f aca="false">COS($E$6*(23.4393-46.815*K81/3600))*Z81-SIN($E$6*(23.4393-46.815*K81/3600))*AA81</f>
        <v>0.117875774280062</v>
      </c>
      <c r="AC81" s="32" t="n">
        <f aca="false">SIN($E$6*(23.4393-46.815*K81/3600))*Z81+COS($E$6*(23.4393-46.815*K81/3600))*AA81</f>
        <v>-0.00924079001502674</v>
      </c>
      <c r="AD81" s="32" t="n">
        <f aca="false">SQRT(1-AC81*AC81)</f>
        <v>0.999957302988432</v>
      </c>
      <c r="AE81" s="31" t="n">
        <f aca="false">ATAN(AC81/AD81)/$E$6</f>
        <v>-0.52946580278495</v>
      </c>
      <c r="AF81" s="32" t="n">
        <f aca="false">IF(24*ATAN(AB81/(Y81+AD81))/PI()&gt;0,24*ATAN(AB81/(Y81+AD81))/PI(),24*ATAN(AB81/(Y81+AD81))/PI()+24)</f>
        <v>0.451320912333192</v>
      </c>
      <c r="AG81" s="31" t="n">
        <f aca="false">IF(L81-15*AF81&gt;0,L81-15*AF81,360+L81-15*AF81)</f>
        <v>312.188670253596</v>
      </c>
      <c r="AH81" s="29" t="n">
        <f aca="false">0.950724+0.051818*COS(O81)+0.009531*COS(2*Q81-O81)+0.007843*COS(2*Q81)+0.002824*COS(2*O81)+0.000857*COS(2*Q81+O81)+0.000533*COS(2*Q81-P81)*(1-0.002495*(J81-2415020)/36525)+0.000401*COS(2*Q81-P81-O81)*(1-0.002495*(J81-2415020)/36525)+0.00032*COS(O81-P81)*(1-0.002495*(J81-2415020)/36525)-0.000271*COS(Q81)</f>
        <v>0.956625807647822</v>
      </c>
      <c r="AI81" s="32" t="n">
        <f aca="false">ASIN(COS($E$6*$E$2)*COS($E$6*AE81)*COS($E$6*AG81)+SIN($E$6*$E$2)*SIN($E$6*AE81))/$E$6</f>
        <v>25.1242219016025</v>
      </c>
      <c r="AJ81" s="29" t="n">
        <f aca="false">ASIN((0.9983271+0.0016764*COS($E$6*2*$E$2))*COS($E$6*AI81)*SIN($E$6*AH81))/$E$6</f>
        <v>0.864410423039033</v>
      </c>
      <c r="AK81" s="29" t="n">
        <f aca="false">AI81-AJ81</f>
        <v>24.2598114785635</v>
      </c>
      <c r="AL81" s="31" t="n">
        <f aca="false"> MOD(280.4664567 + 360007.6982779*K81/10 + 0.03032028*K81^2/100 + K81^3/49931000,360)</f>
        <v>251.464264300195</v>
      </c>
      <c r="AM81" s="29" t="n">
        <f aca="false"> AL81 + (1.9146 - 0.004817*K81 - 0.000014*K81^2)*SIN(P81)+ (0.019993 - 0.000101*K81)*SIN(2*P81)+ 0.00029*SIN(3*P81)</f>
        <v>250.435796184858</v>
      </c>
      <c r="AN81" s="29" t="n">
        <f aca="false">ACOS(COS(V81-$E$6*AM81)*COS(X81))/$E$6</f>
        <v>115.528389937549</v>
      </c>
      <c r="AO81" s="24" t="n">
        <f aca="false">180 - AN81 -0.1468*(1-0.0549*SIN(P81))*SIN($E$6*AN81)/(1-0.0167*SIN($E$6*AM81))</f>
        <v>64.337413890547</v>
      </c>
      <c r="AP81" s="48" t="n">
        <f aca="false">SIN($E$6*AG81)</f>
        <v>-0.740937408757623</v>
      </c>
      <c r="AQ81" s="48" t="n">
        <f aca="false">COS($E$6*AG81)*SIN($E$6*$E$2) - TAN($E$6*AE81)*COS($E$6*$E$2)</f>
        <v>0.520395717565398</v>
      </c>
      <c r="AR81" s="48" t="n">
        <f aca="false">IF(OR(AND(AP81*AQ81&gt;0), AND(AP81&lt;0,AQ81&gt;0)), MOD(ATAN2(AQ81,AP81)/$E$6+360,360),  ATAN2(AQ81,AP81)/$E$6)</f>
        <v>305.082199738621</v>
      </c>
      <c r="AS81" s="20" t="n">
        <f aca="false"> 385000.56 + (-20905355*COS(O81) - 3699111*COS(2*Q81-O81) - 2955968*COS(2*Q81) - 569925*COS(2*O81) + (1-0.002516*K81)*48888*COS(P81) - 3149*COS(2*R81)  +246158*COS(2*Q81-2*O81) -(1-0.002516*K81)*152138*COS(2*Q81-P81-O81) -170733*COS(2*Q81+O81) -(1-0.002516*K81)*204586*COS(2*Q81-P81) -(1-0.002516*K81)*129620*COS(P81-O81)  + 108743*COS(Q81) +(1-0.002516*K81)*104755*COS(P81+O81) +10321*COS(2*Q81-2*R81) +79661*COS(O81-2*R81) -34782*COS(4*Q81-O81) -23210*COS(3*O81)  -21636*COS(4*Q81-2*O81) +(1-0.002516*K81)*24208*COS(2*Q81+P81-O81) +(1-0.002516*K81)*30824*COS(2*Q81+P81) -8379*COS(Q81-O81) -(1-0.002516*K81)*16675*COS(Q81+P81)  -(1-0.002516*K81)*12831*COS(2*Q81-P81+O81) -10445*COS(2*Q81+2*O81) -11650*COS(4*Q81) +14403*COS(2*Q81-3*O81) -(1-0.002516*K81)*7003*COS(P81-2*O81)  + (1-0.002516*K81)*10056*COS(2*Q81-P81-2*O81) +6322*COS(Q81+O81) -(1-0.002516*K81)*(1-0.002516*K81)*9884*COS(2*Q81-2*P81) +(1-0.002516*K81)*5751*COS(P81+2*O81) -(1-0.002516*K81)*(1-0.002516*K81)*4950*COS(2*Q81-2*P81-O81)  +4130*COS(2*Q81+O81-2*R81) -(1-0.002516*K81)*3958*COS(4*Q81-P81-O81) +3258*COS(3*Q81-O81) +(1-0.002516*K81)*2616*COS(2*Q81+P81+O81) -(1-0.002516*K81)*1897*COS(4*Q81-P81-2*O81)  -(1-0.002516*K81)*(1-0.002516*K81)*2117*COS(2*P81-O81) +(1-0.002516*K81)*(1-0.002516*K81)*2354*COS(2*Q81+2*P81-O81) -1423*COS(4*Q81+O81) -1117*COS(4*O81) -(1-0.002516*K81)*1571*COS(4*Q81-P81)  -1739*COS(Q81-2*O81) -4421*COS(2*O81-2*R81) +(1-0.002516*K81)*(1-0.002516*K81)*1165*COS(2*P81+O81) +8752*COS(2*Q81-O81-2*R81))/1000</f>
        <v>381975.829577707</v>
      </c>
      <c r="AT81" s="24" t="n">
        <f aca="false">60*ATAN(3476/AS81)/$E$6</f>
        <v>31.2828116691419</v>
      </c>
      <c r="AU81" s="28" t="n">
        <f aca="false">ATAN(0.99664719*TAN($E$6*input!$D$2))</f>
        <v>0.871010436227447</v>
      </c>
      <c r="AV81" s="28" t="n">
        <f aca="false">COS(AU81)</f>
        <v>0.644053912545846</v>
      </c>
      <c r="AW81" s="28" t="n">
        <f aca="false">0.99664719*SIN(AU81)</f>
        <v>0.762415269897027</v>
      </c>
      <c r="AX81" s="28" t="n">
        <f aca="false">6378.14/AS81</f>
        <v>0.0166977580938861</v>
      </c>
      <c r="AY81" s="31" t="n">
        <f aca="false">L81-15*AF81</f>
        <v>312.188670253596</v>
      </c>
      <c r="AZ81" s="29" t="n">
        <f aca="false">COS($E$6*AE81)*SIN($E$6*AY81)</f>
        <v>-0.74090577294451</v>
      </c>
      <c r="BA81" s="29" t="n">
        <f aca="false">COS($E$6*AE81)*COS($E$6*AY81)-AV81*AX81</f>
        <v>0.660791157831689</v>
      </c>
      <c r="BB81" s="29" t="n">
        <f aca="false">SIN($E$6*AE81)-AW81*AX81</f>
        <v>-0.0219714157588521</v>
      </c>
      <c r="BC81" s="45" t="n">
        <f aca="false">SQRT(AZ81^2+BA81^2+BB81^2)</f>
        <v>0.99301010154051</v>
      </c>
      <c r="BD81" s="20" t="n">
        <f aca="false">AS81*BC81</f>
        <v>379305.85731498</v>
      </c>
      <c r="BE81" s="30" t="str">
        <f aca="false">IF(OR(AND(BD81&gt;BD80,BD81&gt;BD82),AND(BD81&lt;BD80,BD81&lt;BD82)),BD81,"")</f>
        <v/>
      </c>
    </row>
    <row r="82" customFormat="false" ht="15" hidden="false" customHeight="false" outlineLevel="0" collapsed="false">
      <c r="A82" s="31" t="n">
        <v>40</v>
      </c>
      <c r="F82" s="38" t="n">
        <f aca="false">AK82</f>
        <v>28.0543103871993</v>
      </c>
      <c r="G82" s="39" t="n">
        <f aca="false">F82+1.02/(TAN($E$6*(F82+10.3/(F82+5.11)))*60)</f>
        <v>28.0857973379722</v>
      </c>
      <c r="H82" s="38" t="n">
        <f aca="false">100*(1+COS($E$6*AO82))/2</f>
        <v>71.8539996199653</v>
      </c>
      <c r="I82" s="38" t="n">
        <f aca="false">IF(AG82&gt;180, AR82-180,AR82+180)</f>
        <v>132.072733668211</v>
      </c>
      <c r="J82" s="31" t="n">
        <f aca="false">J81+0.5/24</f>
        <v>2459916.16666667</v>
      </c>
      <c r="K82" s="47" t="n">
        <f aca="false">(J82-2451545)/36525</f>
        <v>0.229190052475609</v>
      </c>
      <c r="L82" s="31" t="n">
        <f aca="false">MOD(280.46061837+360.98564736629*(J82-2451545)+0.000387933*K82^2-K82^3/38710000+$E$4,360)</f>
        <v>326.479018314742</v>
      </c>
      <c r="M82" s="28" t="n">
        <f aca="false">0.606433+1336.855225*K82 - INT(0.606433+1336.855225*K82)</f>
        <v>0.000352170042617672</v>
      </c>
      <c r="N82" s="31" t="n">
        <f aca="false">22640*SIN(O82)-4586*SIN(O82-2*Q82)+2370*SIN(2*Q82)+769*SIN(2*O82)-668*SIN(P82)-412*SIN(2*R82)-212*SIN(2*O82-2*Q82)-206*SIN(O82+P82-2*Q82)+192*SIN(O82+2*Q82)-165*SIN(P82-2*Q82)-125*SIN(Q82)-110*SIN(O82+P82)+148*SIN(O82-P82)-55*SIN(2*R82-2*Q82)</f>
        <v>22161.3595613462</v>
      </c>
      <c r="O82" s="29" t="n">
        <f aca="false">2*PI()*(0.374897+1325.55241*K82 - INT(0.374897+1325.55241*K82))</f>
        <v>1.1204390112318</v>
      </c>
      <c r="P82" s="32" t="n">
        <f aca="false">2*PI()*(0.993133+99.997361*K82 - INT(0.993133+99.997361*K82))</f>
        <v>5.7273333602095</v>
      </c>
      <c r="Q82" s="32" t="n">
        <f aca="false">2*PI()*(0.827361+1236.853086*K82 - INT(0.827361+1236.853086*K82))</f>
        <v>1.896169098469</v>
      </c>
      <c r="R82" s="32" t="n">
        <f aca="false">2*PI()*(0.259086+1342.227825*K82 - INT(0.259086+1342.227825*K82))</f>
        <v>5.55654526835816</v>
      </c>
      <c r="S82" s="32" t="n">
        <f aca="false">R82+(N82+412*SIN(2*R82)+541*SIN(P82))/206264.8062</f>
        <v>5.66061892791591</v>
      </c>
      <c r="T82" s="32" t="n">
        <f aca="false">R82-2*Q82</f>
        <v>1.76420707142017</v>
      </c>
      <c r="U82" s="24" t="n">
        <f aca="false">-526*SIN(T82)+44*SIN(O82+T82)-31*SIN(-O82+T82)-23*SIN(P82+T82)+11*SIN(-P82+T82)-25*SIN(-2*O82+R82)+21*SIN(-O82+R82)</f>
        <v>-552.942722365294</v>
      </c>
      <c r="V82" s="32" t="n">
        <f aca="false">2*PI()*(M82+N82/1296000-INT(M82+N82/1296000))</f>
        <v>0.109654052710687</v>
      </c>
      <c r="W82" s="31" t="n">
        <f aca="false">V82/$E$6</f>
        <v>6.28271442682743</v>
      </c>
      <c r="X82" s="32" t="n">
        <f aca="false">(18520*SIN(S82)+U82)/206264.8062</f>
        <v>-0.0550378018164129</v>
      </c>
      <c r="Y82" s="32" t="n">
        <f aca="false">COS(X82)*COS(V82)</f>
        <v>0.992488912701934</v>
      </c>
      <c r="Z82" s="32" t="n">
        <f aca="false">COS(X82)*SIN(V82)</f>
        <v>0.109268732501898</v>
      </c>
      <c r="AA82" s="32" t="n">
        <f aca="false">SIN(X82)</f>
        <v>-0.0550100196433588</v>
      </c>
      <c r="AB82" s="32" t="n">
        <f aca="false">COS($E$6*(23.4393-46.815*K82/3600))*Z82-SIN($E$6*(23.4393-46.815*K82/3600))*AA82</f>
        <v>0.122133467654667</v>
      </c>
      <c r="AC82" s="32" t="n">
        <f aca="false">SIN($E$6*(23.4393-46.815*K82/3600))*Z82+COS($E$6*(23.4393-46.815*K82/3600))*AA82</f>
        <v>-0.00701243483965943</v>
      </c>
      <c r="AD82" s="32" t="n">
        <f aca="false">SQRT(1-AC82*AC82)</f>
        <v>0.999975412576539</v>
      </c>
      <c r="AE82" s="31" t="n">
        <f aca="false">ATAN(AC82/AD82)/$E$6</f>
        <v>-0.401786213390971</v>
      </c>
      <c r="AF82" s="32" t="n">
        <f aca="false">IF(24*ATAN(AB82/(Y82+AD82))/PI()&gt;0,24*ATAN(AB82/(Y82+AD82))/PI(),24*ATAN(AB82/(Y82+AD82))/PI()+24)</f>
        <v>0.467694697336611</v>
      </c>
      <c r="AG82" s="31" t="n">
        <f aca="false">IF(L82-15*AF82&gt;0,L82-15*AF82,360+L82-15*AF82)</f>
        <v>319.463597854692</v>
      </c>
      <c r="AH82" s="29" t="n">
        <f aca="false">0.950724+0.051818*COS(O82)+0.009531*COS(2*Q82-O82)+0.007843*COS(2*Q82)+0.002824*COS(2*O82)+0.000857*COS(2*Q82+O82)+0.000533*COS(2*Q82-P82)*(1-0.002495*(J82-2415020)/36525)+0.000401*COS(2*Q82-P82-O82)*(1-0.002495*(J82-2415020)/36525)+0.00032*COS(O82-P82)*(1-0.002495*(J82-2415020)/36525)-0.000271*COS(Q82)</f>
        <v>0.956422926231592</v>
      </c>
      <c r="AI82" s="32" t="n">
        <f aca="false">ASIN(COS($E$6*$E$2)*COS($E$6*AE82)*COS($E$6*AG82)+SIN($E$6*$E$2)*SIN($E$6*AE82))/$E$6</f>
        <v>28.8900511563639</v>
      </c>
      <c r="AJ82" s="29" t="n">
        <f aca="false">ASIN((0.9983271+0.0016764*COS($E$6*2*$E$2))*COS($E$6*AI82)*SIN($E$6*AH82))/$E$6</f>
        <v>0.835740769164625</v>
      </c>
      <c r="AK82" s="29" t="n">
        <f aca="false">AI82-AJ82</f>
        <v>28.0543103871993</v>
      </c>
      <c r="AL82" s="31" t="n">
        <f aca="false"> MOD(280.4664567 + 360007.6982779*K82/10 + 0.03032028*K82^2/100 + K82^3/49931000,360)</f>
        <v>251.484798620428</v>
      </c>
      <c r="AM82" s="29" t="n">
        <f aca="false"> AL82 + (1.9146 - 0.004817*K82 - 0.000014*K82^2)*SIN(P82)+ (0.019993 - 0.000101*K82)*SIN(2*P82)+ 0.00029*SIN(3*P82)</f>
        <v>250.456919258787</v>
      </c>
      <c r="AN82" s="29" t="n">
        <f aca="false">ACOS(COS(V82-$E$6*AM82)*COS(X82))/$E$6</f>
        <v>115.783814376167</v>
      </c>
      <c r="AO82" s="24" t="n">
        <f aca="false">180 - AN82 -0.1468*(1-0.0549*SIN(P82))*SIN($E$6*AN82)/(1-0.0167*SIN($E$6*AM82))</f>
        <v>64.0822789435789</v>
      </c>
      <c r="AP82" s="48" t="n">
        <f aca="false">SIN($E$6*AG82)</f>
        <v>-0.6499310314875</v>
      </c>
      <c r="AQ82" s="48" t="n">
        <f aca="false">COS($E$6*AG82)*SIN($E$6*$E$2) - TAN($E$6*AE82)*COS($E$6*$E$2)</f>
        <v>0.586696179820481</v>
      </c>
      <c r="AR82" s="48" t="n">
        <f aca="false">IF(OR(AND(AP82*AQ82&gt;0), AND(AP82&lt;0,AQ82&gt;0)), MOD(ATAN2(AQ82,AP82)/$E$6+360,360),  ATAN2(AQ82,AP82)/$E$6)</f>
        <v>312.072733668211</v>
      </c>
      <c r="AS82" s="20" t="n">
        <f aca="false"> 385000.56 + (-20905355*COS(O82) - 3699111*COS(2*Q82-O82) - 2955968*COS(2*Q82) - 569925*COS(2*O82) + (1-0.002516*K82)*48888*COS(P82) - 3149*COS(2*R82)  +246158*COS(2*Q82-2*O82) -(1-0.002516*K82)*152138*COS(2*Q82-P82-O82) -170733*COS(2*Q82+O82) -(1-0.002516*K82)*204586*COS(2*Q82-P82) -(1-0.002516*K82)*129620*COS(P82-O82)  + 108743*COS(Q82) +(1-0.002516*K82)*104755*COS(P82+O82) +10321*COS(2*Q82-2*R82) +79661*COS(O82-2*R82) -34782*COS(4*Q82-O82) -23210*COS(3*O82)  -21636*COS(4*Q82-2*O82) +(1-0.002516*K82)*24208*COS(2*Q82+P82-O82) +(1-0.002516*K82)*30824*COS(2*Q82+P82) -8379*COS(Q82-O82) -(1-0.002516*K82)*16675*COS(Q82+P82)  -(1-0.002516*K82)*12831*COS(2*Q82-P82+O82) -10445*COS(2*Q82+2*O82) -11650*COS(4*Q82) +14403*COS(2*Q82-3*O82) -(1-0.002516*K82)*7003*COS(P82-2*O82)  + (1-0.002516*K82)*10056*COS(2*Q82-P82-2*O82) +6322*COS(Q82+O82) -(1-0.002516*K82)*(1-0.002516*K82)*9884*COS(2*Q82-2*P82) +(1-0.002516*K82)*5751*COS(P82+2*O82) -(1-0.002516*K82)*(1-0.002516*K82)*4950*COS(2*Q82-2*P82-O82)  +4130*COS(2*Q82+O82-2*R82) -(1-0.002516*K82)*3958*COS(4*Q82-P82-O82) +3258*COS(3*Q82-O82) +(1-0.002516*K82)*2616*COS(2*Q82+P82+O82) -(1-0.002516*K82)*1897*COS(4*Q82-P82-2*O82)  -(1-0.002516*K82)*(1-0.002516*K82)*2117*COS(2*P82-O82) +(1-0.002516*K82)*(1-0.002516*K82)*2354*COS(2*Q82+2*P82-O82) -1423*COS(4*Q82+O82) -1117*COS(4*O82) -(1-0.002516*K82)*1571*COS(4*Q82-P82)  -1739*COS(Q82-2*O82) -4421*COS(2*O82-2*R82) +(1-0.002516*K82)*(1-0.002516*K82)*1165*COS(2*P82+O82) +8752*COS(2*Q82-O82-2*R82))/1000</f>
        <v>382056.621900017</v>
      </c>
      <c r="AT82" s="24" t="n">
        <f aca="false">60*ATAN(3476/AS82)/$E$6</f>
        <v>31.2761967555899</v>
      </c>
      <c r="AU82" s="28" t="n">
        <f aca="false">ATAN(0.99664719*TAN($E$6*input!$D$2))</f>
        <v>0.871010436227447</v>
      </c>
      <c r="AV82" s="28" t="n">
        <f aca="false">COS(AU82)</f>
        <v>0.644053912545846</v>
      </c>
      <c r="AW82" s="28" t="n">
        <f aca="false">0.99664719*SIN(AU82)</f>
        <v>0.762415269897027</v>
      </c>
      <c r="AX82" s="28" t="n">
        <f aca="false">6378.14/AS82</f>
        <v>0.0166942270710574</v>
      </c>
      <c r="AY82" s="31" t="n">
        <f aca="false">L82-15*AF82</f>
        <v>319.463597854692</v>
      </c>
      <c r="AZ82" s="29" t="n">
        <f aca="false">COS($E$6*AE82)*SIN($E$6*AY82)</f>
        <v>-0.649915051358008</v>
      </c>
      <c r="BA82" s="29" t="n">
        <f aca="false">COS($E$6*AE82)*COS($E$6*AY82)-AV82*AX82</f>
        <v>0.749222525057733</v>
      </c>
      <c r="BB82" s="29" t="n">
        <f aca="false">SIN($E$6*AE82)-AW82*AX82</f>
        <v>-0.0197403684777619</v>
      </c>
      <c r="BC82" s="45" t="n">
        <f aca="false">SQRT(AZ82^2+BA82^2+BB82^2)</f>
        <v>0.992025023970266</v>
      </c>
      <c r="BD82" s="20" t="n">
        <f aca="false">AS82*BC82</f>
        <v>379009.729498363</v>
      </c>
      <c r="BE82" s="49" t="str">
        <f aca="false">IF(OR(AND(BD82&gt;BD81,BD82&gt;BD83),AND(BD82&lt;BD81,BD82&lt;BD83)),BD82,"")</f>
        <v/>
      </c>
    </row>
    <row r="83" customFormat="false" ht="15" hidden="false" customHeight="false" outlineLevel="0" collapsed="false">
      <c r="A83" s="31" t="n">
        <v>40.5</v>
      </c>
      <c r="F83" s="38" t="n">
        <f aca="false">AK83</f>
        <v>31.4564582352751</v>
      </c>
      <c r="G83" s="39" t="n">
        <f aca="false">F83+1.02/(TAN($E$6*(F83+10.3/(F83+5.11)))*60)</f>
        <v>31.4839426447358</v>
      </c>
      <c r="H83" s="38" t="n">
        <f aca="false">100*(1+COS($E$6*AO83))/2</f>
        <v>72.0539479949453</v>
      </c>
      <c r="I83" s="38" t="n">
        <f aca="false">IF(AG83&gt;180, AR83-180,AR83+180)</f>
        <v>139.564309178</v>
      </c>
      <c r="J83" s="31" t="n">
        <f aca="false">J82+0.5/24</f>
        <v>2459916.18750001</v>
      </c>
      <c r="K83" s="47" t="n">
        <f aca="false">(J83-2451545)/36525</f>
        <v>0.229190622861194</v>
      </c>
      <c r="L83" s="31" t="n">
        <f aca="false">MOD(280.46061837+360.98564736629*(J83-2451545)+0.000387933*K83^2-K83^3/38710000+$E$4,360)</f>
        <v>333.99955269089</v>
      </c>
      <c r="M83" s="28" t="n">
        <f aca="false">0.606433+1336.855225*K83 - INT(0.606433+1336.855225*K83)</f>
        <v>0.00111469299207556</v>
      </c>
      <c r="N83" s="31" t="n">
        <f aca="false">22640*SIN(O83)-4586*SIN(O83-2*Q83)+2370*SIN(2*Q83)+769*SIN(2*O83)-668*SIN(P83)-412*SIN(2*R83)-212*SIN(2*O83-2*Q83)-206*SIN(O83+P83-2*Q83)+192*SIN(O83+2*Q83)-165*SIN(P83-2*Q83)-125*SIN(Q83)-110*SIN(O83+P83)+148*SIN(O83-P83)-55*SIN(2*R83-2*Q83)</f>
        <v>22168.0724264352</v>
      </c>
      <c r="O83" s="29" t="n">
        <f aca="false">2*PI()*(0.374897+1325.55241*K83 - INT(0.374897+1325.55241*K83))</f>
        <v>1.12518957676228</v>
      </c>
      <c r="P83" s="32" t="n">
        <f aca="false">2*PI()*(0.993133+99.997361*K83 - INT(0.993133+99.997361*K83))</f>
        <v>5.72769173458442</v>
      </c>
      <c r="Q83" s="32" t="n">
        <f aca="false">2*PI()*(0.827361+1236.853086*K83 - INT(0.827361+1236.853086*K83))</f>
        <v>1.90060177996297</v>
      </c>
      <c r="R83" s="32" t="n">
        <f aca="false">2*PI()*(0.259086+1342.227825*K83 - INT(0.259086+1342.227825*K83))</f>
        <v>5.56135559588047</v>
      </c>
      <c r="S83" s="32" t="n">
        <f aca="false">R83+(N83+412*SIN(2*R83)+541*SIN(P83))/206264.8062</f>
        <v>5.66546494369966</v>
      </c>
      <c r="T83" s="32" t="n">
        <f aca="false">R83-2*Q83</f>
        <v>1.76015203595452</v>
      </c>
      <c r="U83" s="24" t="n">
        <f aca="false">-526*SIN(T83)+44*SIN(O83+T83)-31*SIN(-O83+T83)-23*SIN(P83+T83)+11*SIN(-P83+T83)-25*SIN(-2*O83+R83)+21*SIN(-O83+R83)</f>
        <v>-553.211600596341</v>
      </c>
      <c r="V83" s="32" t="n">
        <f aca="false">2*PI()*(M83+N83/1296000-INT(M83+N83/1296000))</f>
        <v>0.114477670591454</v>
      </c>
      <c r="W83" s="31" t="n">
        <f aca="false">V83/$E$6</f>
        <v>6.55908737337921</v>
      </c>
      <c r="X83" s="32" t="n">
        <f aca="false">(18520*SIN(S83)+U83)/206264.8062</f>
        <v>-0.0546850140042202</v>
      </c>
      <c r="Y83" s="32" t="n">
        <f aca="false">COS(X83)*COS(V83)</f>
        <v>0.991969516002317</v>
      </c>
      <c r="Z83" s="32" t="n">
        <f aca="false">COS(X83)*SIN(V83)</f>
        <v>0.114057039717294</v>
      </c>
      <c r="AA83" s="32" t="n">
        <f aca="false">SIN(X83)</f>
        <v>-0.0546577626056533</v>
      </c>
      <c r="AB83" s="32" t="n">
        <f aca="false">COS($E$6*(23.4393-46.815*K83/3600))*Z83-SIN($E$6*(23.4393-46.815*K83/3600))*AA83</f>
        <v>0.126386649367694</v>
      </c>
      <c r="AC83" s="32" t="n">
        <f aca="false">SIN($E$6*(23.4393-46.815*K83/3600))*Z83+COS($E$6*(23.4393-46.815*K83/3600))*AA83</f>
        <v>-0.00478478669701347</v>
      </c>
      <c r="AD83" s="32" t="n">
        <f aca="false">SQRT(1-AC83*AC83)</f>
        <v>0.999988552842613</v>
      </c>
      <c r="AE83" s="31" t="n">
        <f aca="false">ATAN(AC83/AD83)/$E$6</f>
        <v>-0.27414912968609</v>
      </c>
      <c r="AF83" s="32" t="n">
        <f aca="false">IF(24*ATAN(AB83/(Y83+AD83))/PI()&gt;0,24*ATAN(AB83/(Y83+AD83))/PI(),24*ATAN(AB83/(Y83+AD83))/PI()+24)</f>
        <v>0.484061576427123</v>
      </c>
      <c r="AG83" s="31" t="n">
        <f aca="false">IF(L83-15*AF83&gt;0,L83-15*AF83,360+L83-15*AF83)</f>
        <v>326.738629044483</v>
      </c>
      <c r="AH83" s="29" t="n">
        <f aca="false">0.950724+0.051818*COS(O83)+0.009531*COS(2*Q83-O83)+0.007843*COS(2*Q83)+0.002824*COS(2*O83)+0.000857*COS(2*Q83+O83)+0.000533*COS(2*Q83-P83)*(1-0.002495*(J83-2415020)/36525)+0.000401*COS(2*Q83-P83-O83)*(1-0.002495*(J83-2415020)/36525)+0.00032*COS(O83-P83)*(1-0.002495*(J83-2415020)/36525)-0.000271*COS(Q83)</f>
        <v>0.956220315078859</v>
      </c>
      <c r="AI83" s="32" t="n">
        <f aca="false">ASIN(COS($E$6*$E$2)*COS($E$6*AE83)*COS($E$6*AG83)+SIN($E$6*$E$2)*SIN($E$6*AE83))/$E$6</f>
        <v>32.2634417901826</v>
      </c>
      <c r="AJ83" s="29" t="n">
        <f aca="false">ASIN((0.9983271+0.0016764*COS($E$6*2*$E$2))*COS($E$6*AI83)*SIN($E$6*AH83))/$E$6</f>
        <v>0.806983554907442</v>
      </c>
      <c r="AK83" s="29" t="n">
        <f aca="false">AI83-AJ83</f>
        <v>31.4564582352751</v>
      </c>
      <c r="AL83" s="31" t="n">
        <f aca="false"> MOD(280.4664567 + 360007.6982779*K83/10 + 0.03032028*K83^2/100 + K83^3/49931000,360)</f>
        <v>251.505332940664</v>
      </c>
      <c r="AM83" s="29" t="n">
        <f aca="false"> AL83 + (1.9146 - 0.004817*K83 - 0.000014*K83^2)*SIN(P83)+ (0.019993 - 0.000101*K83)*SIN(2*P83)+ 0.00029*SIN(3*P83)</f>
        <v>250.478042471925</v>
      </c>
      <c r="AN83" s="29" t="n">
        <f aca="false">ACOS(COS(V83-$E$6*AM83)*COS(X83))/$E$6</f>
        <v>116.039128639662</v>
      </c>
      <c r="AO83" s="24" t="n">
        <f aca="false">180 - AN83 -0.1468*(1-0.0549*SIN(P83))*SIN($E$6*AN83)/(1-0.0167*SIN($E$6*AM83))</f>
        <v>63.8272566970821</v>
      </c>
      <c r="AP83" s="48" t="n">
        <f aca="false">SIN($E$6*AG83)</f>
        <v>-0.548459188584144</v>
      </c>
      <c r="AQ83" s="48" t="n">
        <f aca="false">COS($E$6*AG83)*SIN($E$6*$E$2) - TAN($E$6*AE83)*COS($E$6*$E$2)</f>
        <v>0.643624629912417</v>
      </c>
      <c r="AR83" s="48" t="n">
        <f aca="false">IF(OR(AND(AP83*AQ83&gt;0), AND(AP83&lt;0,AQ83&gt;0)), MOD(ATAN2(AQ83,AP83)/$E$6+360,360),  ATAN2(AQ83,AP83)/$E$6)</f>
        <v>319.564309178</v>
      </c>
      <c r="AS83" s="20" t="n">
        <f aca="false"> 385000.56 + (-20905355*COS(O83) - 3699111*COS(2*Q83-O83) - 2955968*COS(2*Q83) - 569925*COS(2*O83) + (1-0.002516*K83)*48888*COS(P83) - 3149*COS(2*R83)  +246158*COS(2*Q83-2*O83) -(1-0.002516*K83)*152138*COS(2*Q83-P83-O83) -170733*COS(2*Q83+O83) -(1-0.002516*K83)*204586*COS(2*Q83-P83) -(1-0.002516*K83)*129620*COS(P83-O83)  + 108743*COS(Q83) +(1-0.002516*K83)*104755*COS(P83+O83) +10321*COS(2*Q83-2*R83) +79661*COS(O83-2*R83) -34782*COS(4*Q83-O83) -23210*COS(3*O83)  -21636*COS(4*Q83-2*O83) +(1-0.002516*K83)*24208*COS(2*Q83+P83-O83) +(1-0.002516*K83)*30824*COS(2*Q83+P83) -8379*COS(Q83-O83) -(1-0.002516*K83)*16675*COS(Q83+P83)  -(1-0.002516*K83)*12831*COS(2*Q83-P83+O83) -10445*COS(2*Q83+2*O83) -11650*COS(4*Q83) +14403*COS(2*Q83-3*O83) -(1-0.002516*K83)*7003*COS(P83-2*O83)  + (1-0.002516*K83)*10056*COS(2*Q83-P83-2*O83) +6322*COS(Q83+O83) -(1-0.002516*K83)*(1-0.002516*K83)*9884*COS(2*Q83-2*P83) +(1-0.002516*K83)*5751*COS(P83+2*O83) -(1-0.002516*K83)*(1-0.002516*K83)*4950*COS(2*Q83-2*P83-O83)  +4130*COS(2*Q83+O83-2*R83) -(1-0.002516*K83)*3958*COS(4*Q83-P83-O83) +3258*COS(3*Q83-O83) +(1-0.002516*K83)*2616*COS(2*Q83+P83+O83) -(1-0.002516*K83)*1897*COS(4*Q83-P83-2*O83)  -(1-0.002516*K83)*(1-0.002516*K83)*2117*COS(2*P83-O83) +(1-0.002516*K83)*(1-0.002516*K83)*2354*COS(2*Q83+2*P83-O83) -1423*COS(4*Q83+O83) -1117*COS(4*O83) -(1-0.002516*K83)*1571*COS(4*Q83-P83)  -1739*COS(Q83-2*O83) -4421*COS(2*O83-2*R83) +(1-0.002516*K83)*(1-0.002516*K83)*1165*COS(2*P83+O83) +8752*COS(2*Q83-O83-2*R83))/1000</f>
        <v>382137.356308169</v>
      </c>
      <c r="AT83" s="24" t="n">
        <f aca="false">60*ATAN(3476/AS83)/$E$6</f>
        <v>31.269589377631</v>
      </c>
      <c r="AU83" s="28" t="n">
        <f aca="false">ATAN(0.99664719*TAN($E$6*input!$D$2))</f>
        <v>0.871010436227447</v>
      </c>
      <c r="AV83" s="28" t="n">
        <f aca="false">COS(AU83)</f>
        <v>0.644053912545846</v>
      </c>
      <c r="AW83" s="28" t="n">
        <f aca="false">0.99664719*SIN(AU83)</f>
        <v>0.762415269897027</v>
      </c>
      <c r="AX83" s="28" t="n">
        <f aca="false">6378.14/AS83</f>
        <v>0.0166907000708312</v>
      </c>
      <c r="AY83" s="31" t="n">
        <f aca="false">L83-15*AF83</f>
        <v>326.738629044483</v>
      </c>
      <c r="AZ83" s="29" t="n">
        <f aca="false">COS($E$6*AE83)*SIN($E$6*AY83)</f>
        <v>-0.548452910285492</v>
      </c>
      <c r="BA83" s="29" t="n">
        <f aca="false">COS($E$6*AE83)*COS($E$6*AY83)-AV83*AX83</f>
        <v>0.825418042231681</v>
      </c>
      <c r="BB83" s="29" t="n">
        <f aca="false">SIN($E$6*AE83)-AW83*AX83</f>
        <v>-0.0175100312962866</v>
      </c>
      <c r="BC83" s="45" t="n">
        <f aca="false">SQRT(AZ83^2+BA83^2+BB83^2)</f>
        <v>0.991172104348283</v>
      </c>
      <c r="BD83" s="20" t="n">
        <f aca="false">AS83*BC83</f>
        <v>378763.887602057</v>
      </c>
      <c r="BE83" s="30" t="str">
        <f aca="false">IF(OR(AND(BD83&gt;BD82,BD83&gt;BD84),AND(BD83&lt;BD82,BD83&lt;BD84)),BD83,"")</f>
        <v/>
      </c>
    </row>
    <row r="84" customFormat="false" ht="15" hidden="false" customHeight="false" outlineLevel="0" collapsed="false">
      <c r="A84" s="31" t="n">
        <v>41</v>
      </c>
      <c r="F84" s="38" t="n">
        <f aca="false">AK84</f>
        <v>34.378420905144</v>
      </c>
      <c r="G84" s="39" t="n">
        <f aca="false">F84+1.02/(TAN($E$6*(F84+10.3/(F84+5.11)))*60)</f>
        <v>34.4030277208391</v>
      </c>
      <c r="H84" s="38" t="n">
        <f aca="false">100*(1+COS($E$6*AO84))/2</f>
        <v>72.2533715471473</v>
      </c>
      <c r="I84" s="38" t="n">
        <f aca="false">IF(AG84&gt;180, AR84-180,AR84+180)</f>
        <v>147.593195315211</v>
      </c>
      <c r="J84" s="31" t="n">
        <f aca="false">J83+0.5/24</f>
        <v>2459916.20833334</v>
      </c>
      <c r="K84" s="47" t="n">
        <f aca="false">(J84-2451545)/36525</f>
        <v>0.229191193246779</v>
      </c>
      <c r="L84" s="31" t="n">
        <f aca="false">MOD(280.46061837+360.98564736629*(J84-2451545)+0.000387933*K84^2-K84^3/38710000+$E$4,360)</f>
        <v>341.520087067504</v>
      </c>
      <c r="M84" s="28" t="n">
        <f aca="false">0.606433+1336.855225*K84 - INT(0.606433+1336.855225*K84)</f>
        <v>0.00187721594147661</v>
      </c>
      <c r="N84" s="31" t="n">
        <f aca="false">22640*SIN(O84)-4586*SIN(O84-2*Q84)+2370*SIN(2*Q84)+769*SIN(2*O84)-668*SIN(P84)-412*SIN(2*R84)-212*SIN(2*O84-2*Q84)-206*SIN(O84+P84-2*Q84)+192*SIN(O84+2*Q84)-165*SIN(P84-2*Q84)-125*SIN(Q84)-110*SIN(O84+P84)+148*SIN(O84-P84)-55*SIN(2*R84-2*Q84)</f>
        <v>22174.358883221</v>
      </c>
      <c r="O84" s="29" t="n">
        <f aca="false">2*PI()*(0.374897+1325.55241*K84 - INT(0.374897+1325.55241*K84))</f>
        <v>1.12994014229311</v>
      </c>
      <c r="P84" s="32" t="n">
        <f aca="false">2*PI()*(0.993133+99.997361*K84 - INT(0.993133+99.997361*K84))</f>
        <v>5.72805010895932</v>
      </c>
      <c r="Q84" s="32" t="n">
        <f aca="false">2*PI()*(0.827361+1236.853086*K84 - INT(0.827361+1236.853086*K84))</f>
        <v>1.90503446145695</v>
      </c>
      <c r="R84" s="32" t="n">
        <f aca="false">2*PI()*(0.259086+1342.227825*K84 - INT(0.259086+1342.227825*K84))</f>
        <v>5.56616592340242</v>
      </c>
      <c r="S84" s="32" t="n">
        <f aca="false">R84+(N84+412*SIN(2*R84)+541*SIN(P84))/206264.8062</f>
        <v>5.67030907575771</v>
      </c>
      <c r="T84" s="32" t="n">
        <f aca="false">R84-2*Q84</f>
        <v>1.75609700048852</v>
      </c>
      <c r="U84" s="24" t="n">
        <f aca="false">-526*SIN(T84)+44*SIN(O84+T84)-31*SIN(-O84+T84)-23*SIN(P84+T84)+11*SIN(-P84+T84)-25*SIN(-2*O84+R84)+21*SIN(-O84+R84)</f>
        <v>-553.470520624559</v>
      </c>
      <c r="V84" s="32" t="n">
        <f aca="false">2*PI()*(M84+N84/1296000-INT(M84+N84/1296000))</f>
        <v>0.119299221186072</v>
      </c>
      <c r="W84" s="31" t="n">
        <f aca="false">V84/$E$6</f>
        <v>6.83534187315964</v>
      </c>
      <c r="X84" s="32" t="n">
        <f aca="false">(18520*SIN(S84)+U84)/206264.8062</f>
        <v>-0.0543310950367999</v>
      </c>
      <c r="Y84" s="32" t="n">
        <f aca="false">COS(X84)*COS(V84)</f>
        <v>0.991427200869048</v>
      </c>
      <c r="Z84" s="32" t="n">
        <f aca="false">COS(X84)*SIN(V84)</f>
        <v>0.118840821497303</v>
      </c>
      <c r="AA84" s="32" t="n">
        <f aca="false">SIN(X84)</f>
        <v>-0.0543043692791912</v>
      </c>
      <c r="AB84" s="32" t="n">
        <f aca="false">COS($E$6*(23.4393-46.815*K84/3600))*Z84-SIN($E$6*(23.4393-46.815*K84/3600))*AA84</f>
        <v>0.130635227046512</v>
      </c>
      <c r="AC84" s="32" t="n">
        <f aca="false">SIN($E$6*(23.4393-46.815*K84/3600))*Z84+COS($E$6*(23.4393-46.815*K84/3600))*AA84</f>
        <v>-0.00255789590695497</v>
      </c>
      <c r="AD84" s="32" t="n">
        <f aca="false">SQRT(1-AC84*AC84)</f>
        <v>0.999996728578914</v>
      </c>
      <c r="AE84" s="31" t="n">
        <f aca="false">ATAN(AC84/AD84)/$E$6</f>
        <v>-0.146556799718677</v>
      </c>
      <c r="AF84" s="32" t="n">
        <f aca="false">IF(24*ATAN(AB84/(Y84+AD84))/PI()&gt;0,24*ATAN(AB84/(Y84+AD84))/PI(),24*ATAN(AB84/(Y84+AD84))/PI()+24)</f>
        <v>0.500421725731243</v>
      </c>
      <c r="AG84" s="31" t="n">
        <f aca="false">IF(L84-15*AF84&gt;0,L84-15*AF84,360+L84-15*AF84)</f>
        <v>334.013761181535</v>
      </c>
      <c r="AH84" s="29" t="n">
        <f aca="false">0.950724+0.051818*COS(O84)+0.009531*COS(2*Q84-O84)+0.007843*COS(2*Q84)+0.002824*COS(2*O84)+0.000857*COS(2*Q84+O84)+0.000533*COS(2*Q84-P84)*(1-0.002495*(J84-2415020)/36525)+0.000401*COS(2*Q84-P84-O84)*(1-0.002495*(J84-2415020)/36525)+0.00032*COS(O84-P84)*(1-0.002495*(J84-2415020)/36525)-0.000271*COS(Q84)</f>
        <v>0.956017975637138</v>
      </c>
      <c r="AI84" s="32" t="n">
        <f aca="false">ASIN(COS($E$6*$E$2)*COS($E$6*AE84)*COS($E$6*AG84)+SIN($E$6*$E$2)*SIN($E$6*AE84))/$E$6</f>
        <v>35.1584781032369</v>
      </c>
      <c r="AJ84" s="29" t="n">
        <f aca="false">ASIN((0.9983271+0.0016764*COS($E$6*2*$E$2))*COS($E$6*AI84)*SIN($E$6*AH84))/$E$6</f>
        <v>0.780057198092914</v>
      </c>
      <c r="AK84" s="29" t="n">
        <f aca="false">AI84-AJ84</f>
        <v>34.378420905144</v>
      </c>
      <c r="AL84" s="31" t="n">
        <f aca="false"> MOD(280.4664567 + 360007.6982779*K84/10 + 0.03032028*K84^2/100 + K84^3/49931000,360)</f>
        <v>251.5258672609</v>
      </c>
      <c r="AM84" s="29" t="n">
        <f aca="false"> AL84 + (1.9146 - 0.004817*K84 - 0.000014*K84^2)*SIN(P84)+ (0.019993 - 0.000101*K84)*SIN(2*P84)+ 0.00029*SIN(3*P84)</f>
        <v>250.499165824191</v>
      </c>
      <c r="AN84" s="29" t="n">
        <f aca="false">ACOS(COS(V84-$E$6*AM84)*COS(X84))/$E$6</f>
        <v>116.294332928286</v>
      </c>
      <c r="AO84" s="24" t="n">
        <f aca="false">180 - AN84 -0.1468*(1-0.0549*SIN(P84))*SIN($E$6*AN84)/(1-0.0167*SIN($E$6*AM84))</f>
        <v>63.572346941707</v>
      </c>
      <c r="AP84" s="48" t="n">
        <f aca="false">SIN($E$6*AG84)</f>
        <v>-0.438155263656724</v>
      </c>
      <c r="AQ84" s="48" t="n">
        <f aca="false">COS($E$6*AG84)*SIN($E$6*$E$2) - TAN($E$6*AE84)*COS($E$6*$E$2)</f>
        <v>0.690241008568481</v>
      </c>
      <c r="AR84" s="48" t="n">
        <f aca="false">IF(OR(AND(AP84*AQ84&gt;0), AND(AP84&lt;0,AQ84&gt;0)), MOD(ATAN2(AQ84,AP84)/$E$6+360,360),  ATAN2(AQ84,AP84)/$E$6)</f>
        <v>327.593195315211</v>
      </c>
      <c r="AS84" s="20" t="n">
        <f aca="false"> 385000.56 + (-20905355*COS(O84) - 3699111*COS(2*Q84-O84) - 2955968*COS(2*Q84) - 569925*COS(2*O84) + (1-0.002516*K84)*48888*COS(P84) - 3149*COS(2*R84)  +246158*COS(2*Q84-2*O84) -(1-0.002516*K84)*152138*COS(2*Q84-P84-O84) -170733*COS(2*Q84+O84) -(1-0.002516*K84)*204586*COS(2*Q84-P84) -(1-0.002516*K84)*129620*COS(P84-O84)  + 108743*COS(Q84) +(1-0.002516*K84)*104755*COS(P84+O84) +10321*COS(2*Q84-2*R84) +79661*COS(O84-2*R84) -34782*COS(4*Q84-O84) -23210*COS(3*O84)  -21636*COS(4*Q84-2*O84) +(1-0.002516*K84)*24208*COS(2*Q84+P84-O84) +(1-0.002516*K84)*30824*COS(2*Q84+P84) -8379*COS(Q84-O84) -(1-0.002516*K84)*16675*COS(Q84+P84)  -(1-0.002516*K84)*12831*COS(2*Q84-P84+O84) -10445*COS(2*Q84+2*O84) -11650*COS(4*Q84) +14403*COS(2*Q84-3*O84) -(1-0.002516*K84)*7003*COS(P84-2*O84)  + (1-0.002516*K84)*10056*COS(2*Q84-P84-2*O84) +6322*COS(Q84+O84) -(1-0.002516*K84)*(1-0.002516*K84)*9884*COS(2*Q84-2*P84) +(1-0.002516*K84)*5751*COS(P84+2*O84) -(1-0.002516*K84)*(1-0.002516*K84)*4950*COS(2*Q84-2*P84-O84)  +4130*COS(2*Q84+O84-2*R84) -(1-0.002516*K84)*3958*COS(4*Q84-P84-O84) +3258*COS(3*Q84-O84) +(1-0.002516*K84)*2616*COS(2*Q84+P84+O84) -(1-0.002516*K84)*1897*COS(4*Q84-P84-2*O84)  -(1-0.002516*K84)*(1-0.002516*K84)*2117*COS(2*P84-O84) +(1-0.002516*K84)*(1-0.002516*K84)*2354*COS(2*Q84+2*P84-O84) -1423*COS(4*Q84+O84) -1117*COS(4*O84) -(1-0.002516*K84)*1571*COS(4*Q84-P84)  -1739*COS(Q84-2*O84) -4421*COS(2*O84-2*R84) +(1-0.002516*K84)*(1-0.002516*K84)*1165*COS(2*P84+O84) +8752*COS(2*Q84-O84-2*R84))/1000</f>
        <v>382218.032050647</v>
      </c>
      <c r="AT84" s="24" t="n">
        <f aca="false">60*ATAN(3476/AS84)/$E$6</f>
        <v>31.2629895889529</v>
      </c>
      <c r="AU84" s="28" t="n">
        <f aca="false">ATAN(0.99664719*TAN($E$6*input!$D$2))</f>
        <v>0.871010436227447</v>
      </c>
      <c r="AV84" s="28" t="n">
        <f aca="false">COS(AU84)</f>
        <v>0.644053912545846</v>
      </c>
      <c r="AW84" s="28" t="n">
        <f aca="false">0.99664719*SIN(AU84)</f>
        <v>0.762415269897027</v>
      </c>
      <c r="AX84" s="28" t="n">
        <f aca="false">6378.14/AS84</f>
        <v>0.0166871771218655</v>
      </c>
      <c r="AY84" s="31" t="n">
        <f aca="false">L84-15*AF84</f>
        <v>334.013761181535</v>
      </c>
      <c r="AZ84" s="29" t="n">
        <f aca="false">COS($E$6*AE84)*SIN($E$6*AY84)</f>
        <v>-0.438153830266356</v>
      </c>
      <c r="BA84" s="29" t="n">
        <f aca="false">COS($E$6*AE84)*COS($E$6*AY84)-AV84*AX84</f>
        <v>0.888148925054841</v>
      </c>
      <c r="BB84" s="29" t="n">
        <f aca="false">SIN($E$6*AE84)-AW84*AX84</f>
        <v>-0.0152804545561415</v>
      </c>
      <c r="BC84" s="45" t="n">
        <f aca="false">SQRT(AZ84^2+BA84^2+BB84^2)</f>
        <v>0.990464933425</v>
      </c>
      <c r="BD84" s="20" t="n">
        <f aca="false">AS84*BC84</f>
        <v>378573.557668879</v>
      </c>
      <c r="BE84" s="30" t="str">
        <f aca="false">IF(OR(AND(BD84&gt;BD83,BD84&gt;BD85),AND(BD84&lt;BD83,BD84&lt;BD85)),BD84,"")</f>
        <v/>
      </c>
    </row>
    <row r="85" customFormat="false" ht="15" hidden="false" customHeight="false" outlineLevel="0" collapsed="false">
      <c r="A85" s="31" t="n">
        <v>41.5</v>
      </c>
      <c r="F85" s="38" t="n">
        <f aca="false">AK85</f>
        <v>36.7285975088191</v>
      </c>
      <c r="G85" s="39" t="n">
        <f aca="false">F85+1.02/(TAN($E$6*(F85+10.3/(F85+5.11)))*60)</f>
        <v>36.7511779422082</v>
      </c>
      <c r="H85" s="38" t="n">
        <f aca="false">100*(1+COS($E$6*AO85))/2</f>
        <v>72.4522670728099</v>
      </c>
      <c r="I85" s="38" t="n">
        <f aca="false">IF(AG85&gt;180, AR85-180,AR85+180)</f>
        <v>156.154301844083</v>
      </c>
      <c r="J85" s="31" t="n">
        <f aca="false">J84+0.5/24</f>
        <v>2459916.22916667</v>
      </c>
      <c r="K85" s="47" t="n">
        <f aca="false">(J85-2451545)/36525</f>
        <v>0.229191763632364</v>
      </c>
      <c r="L85" s="31" t="n">
        <f aca="false">MOD(280.46061837+360.98564736629*(J85-2451545)+0.000387933*K85^2-K85^3/38710000+$E$4,360)</f>
        <v>349.040621443652</v>
      </c>
      <c r="M85" s="28" t="n">
        <f aca="false">0.606433+1336.855225*K85 - INT(0.606433+1336.855225*K85)</f>
        <v>0.0026397388909345</v>
      </c>
      <c r="N85" s="31" t="n">
        <f aca="false">22640*SIN(O85)-4586*SIN(O85-2*Q85)+2370*SIN(2*Q85)+769*SIN(2*O85)-668*SIN(P85)-412*SIN(2*R85)-212*SIN(2*O85-2*Q85)-206*SIN(O85+P85-2*Q85)+192*SIN(O85+2*Q85)-165*SIN(P85-2*Q85)-125*SIN(Q85)-110*SIN(O85+P85)+148*SIN(O85-P85)-55*SIN(2*R85-2*Q85)</f>
        <v>22180.2198921053</v>
      </c>
      <c r="O85" s="29" t="n">
        <f aca="false">2*PI()*(0.374897+1325.55241*K85 - INT(0.374897+1325.55241*K85))</f>
        <v>1.13469070782395</v>
      </c>
      <c r="P85" s="32" t="n">
        <f aca="false">2*PI()*(0.993133+99.997361*K85 - INT(0.993133+99.997361*K85))</f>
        <v>5.72840848333421</v>
      </c>
      <c r="Q85" s="32" t="n">
        <f aca="false">2*PI()*(0.827361+1236.853086*K85 - INT(0.827361+1236.853086*K85))</f>
        <v>1.90946714295057</v>
      </c>
      <c r="R85" s="32" t="n">
        <f aca="false">2*PI()*(0.259086+1342.227825*K85 - INT(0.259086+1342.227825*K85))</f>
        <v>5.57097625092472</v>
      </c>
      <c r="S85" s="32" t="n">
        <f aca="false">R85+(N85+412*SIN(2*R85)+541*SIN(P85))/206264.8062</f>
        <v>5.67515132851282</v>
      </c>
      <c r="T85" s="32" t="n">
        <f aca="false">R85-2*Q85</f>
        <v>1.75204196502359</v>
      </c>
      <c r="U85" s="24" t="n">
        <f aca="false">-526*SIN(T85)+44*SIN(O85+T85)-31*SIN(-O85+T85)-23*SIN(P85+T85)+11*SIN(-P85+T85)-25*SIN(-2*O85+R85)+21*SIN(-O85+R85)</f>
        <v>-553.719491512368</v>
      </c>
      <c r="V85" s="32" t="n">
        <f aca="false">2*PI()*(M85+N85/1296000-INT(M85+N85/1296000))</f>
        <v>0.124118709151415</v>
      </c>
      <c r="W85" s="31" t="n">
        <f aca="false">V85/$E$6</f>
        <v>7.11147819298788</v>
      </c>
      <c r="X85" s="32" t="n">
        <f aca="false">(18520*SIN(S85)+U85)/206264.8062</f>
        <v>-0.0539760543852335</v>
      </c>
      <c r="Y85" s="32" t="n">
        <f aca="false">COS(X85)*COS(V85)</f>
        <v>0.990862006518115</v>
      </c>
      <c r="Z85" s="32" t="n">
        <f aca="false">COS(X85)*SIN(V85)</f>
        <v>0.12361997339011</v>
      </c>
      <c r="AA85" s="32" t="n">
        <f aca="false">SIN(X85)</f>
        <v>-0.0539498491000946</v>
      </c>
      <c r="AB85" s="32" t="n">
        <f aca="false">COS($E$6*(23.4393-46.815*K85/3600))*Z85-SIN($E$6*(23.4393-46.815*K85/3600))*AA85</f>
        <v>0.134879108609325</v>
      </c>
      <c r="AC85" s="32" t="n">
        <f aca="false">SIN($E$6*(23.4393-46.815*K85/3600))*Z85+COS($E$6*(23.4393-46.815*K85/3600))*AA85</f>
        <v>-0.000331812670725622</v>
      </c>
      <c r="AD85" s="32" t="n">
        <f aca="false">SQRT(1-AC85*AC85)</f>
        <v>0.999999944950174</v>
      </c>
      <c r="AE85" s="31" t="n">
        <f aca="false">ATAN(AC85/AD85)/$E$6</f>
        <v>-0.0190114659704015</v>
      </c>
      <c r="AF85" s="32" t="n">
        <f aca="false">IF(24*ATAN(AB85/(Y85+AD85))/PI()&gt;0,24*ATAN(AB85/(Y85+AD85))/PI(),24*ATAN(AB85/(Y85+AD85))/PI()+24)</f>
        <v>0.516775321010264</v>
      </c>
      <c r="AG85" s="31" t="n">
        <f aca="false">IF(L85-15*AF85&gt;0,L85-15*AF85,360+L85-15*AF85)</f>
        <v>341.288991628498</v>
      </c>
      <c r="AH85" s="29" t="n">
        <f aca="false">0.950724+0.051818*COS(O85)+0.009531*COS(2*Q85-O85)+0.007843*COS(2*Q85)+0.002824*COS(2*O85)+0.000857*COS(2*Q85+O85)+0.000533*COS(2*Q85-P85)*(1-0.002495*(J85-2415020)/36525)+0.000401*COS(2*Q85-P85-O85)*(1-0.002495*(J85-2415020)/36525)+0.00032*COS(O85-P85)*(1-0.002495*(J85-2415020)/36525)-0.000271*COS(Q85)</f>
        <v>0.955815909315406</v>
      </c>
      <c r="AI85" s="32" t="n">
        <f aca="false">ASIN(COS($E$6*$E$2)*COS($E$6*AE85)*COS($E$6*AG85)+SIN($E$6*$E$2)*SIN($E$6*AE85))/$E$6</f>
        <v>37.4855413805174</v>
      </c>
      <c r="AJ85" s="29" t="n">
        <f aca="false">ASIN((0.9983271+0.0016764*COS($E$6*2*$E$2))*COS($E$6*AI85)*SIN($E$6*AH85))/$E$6</f>
        <v>0.756943871698346</v>
      </c>
      <c r="AK85" s="29" t="n">
        <f aca="false">AI85-AJ85</f>
        <v>36.7285975088191</v>
      </c>
      <c r="AL85" s="31" t="n">
        <f aca="false"> MOD(280.4664567 + 360007.6982779*K85/10 + 0.03032028*K85^2/100 + K85^3/49931000,360)</f>
        <v>251.546401581132</v>
      </c>
      <c r="AM85" s="29" t="n">
        <f aca="false"> AL85 + (1.9146 - 0.004817*K85 - 0.000014*K85^2)*SIN(P85)+ (0.019993 - 0.000101*K85)*SIN(2*P85)+ 0.00029*SIN(3*P85)</f>
        <v>250.520289315501</v>
      </c>
      <c r="AN85" s="29" t="n">
        <f aca="false">ACOS(COS(V85-$E$6*AM85)*COS(X85))/$E$6</f>
        <v>116.549427442009</v>
      </c>
      <c r="AO85" s="24" t="n">
        <f aca="false">180 - AN85 -0.1468*(1-0.0549*SIN(P85))*SIN($E$6*AN85)/(1-0.0167*SIN($E$6*AM85))</f>
        <v>63.3175494683565</v>
      </c>
      <c r="AP85" s="48" t="n">
        <f aca="false">SIN($E$6*AG85)</f>
        <v>-0.320794974382636</v>
      </c>
      <c r="AQ85" s="48" t="n">
        <f aca="false">COS($E$6*AG85)*SIN($E$6*$E$2) - TAN($E$6*AE85)*COS($E$6*$E$2)</f>
        <v>0.725771252995418</v>
      </c>
      <c r="AR85" s="48" t="n">
        <f aca="false">IF(OR(AND(AP85*AQ85&gt;0), AND(AP85&lt;0,AQ85&gt;0)), MOD(ATAN2(AQ85,AP85)/$E$6+360,360),  ATAN2(AQ85,AP85)/$E$6)</f>
        <v>336.154301844083</v>
      </c>
      <c r="AS85" s="20" t="n">
        <f aca="false"> 385000.56 + (-20905355*COS(O85) - 3699111*COS(2*Q85-O85) - 2955968*COS(2*Q85) - 569925*COS(2*O85) + (1-0.002516*K85)*48888*COS(P85) - 3149*COS(2*R85)  +246158*COS(2*Q85-2*O85) -(1-0.002516*K85)*152138*COS(2*Q85-P85-O85) -170733*COS(2*Q85+O85) -(1-0.002516*K85)*204586*COS(2*Q85-P85) -(1-0.002516*K85)*129620*COS(P85-O85)  + 108743*COS(Q85) +(1-0.002516*K85)*104755*COS(P85+O85) +10321*COS(2*Q85-2*R85) +79661*COS(O85-2*R85) -34782*COS(4*Q85-O85) -23210*COS(3*O85)  -21636*COS(4*Q85-2*O85) +(1-0.002516*K85)*24208*COS(2*Q85+P85-O85) +(1-0.002516*K85)*30824*COS(2*Q85+P85) -8379*COS(Q85-O85) -(1-0.002516*K85)*16675*COS(Q85+P85)  -(1-0.002516*K85)*12831*COS(2*Q85-P85+O85) -10445*COS(2*Q85+2*O85) -11650*COS(4*Q85) +14403*COS(2*Q85-3*O85) -(1-0.002516*K85)*7003*COS(P85-2*O85)  + (1-0.002516*K85)*10056*COS(2*Q85-P85-2*O85) +6322*COS(Q85+O85) -(1-0.002516*K85)*(1-0.002516*K85)*9884*COS(2*Q85-2*P85) +(1-0.002516*K85)*5751*COS(P85+2*O85) -(1-0.002516*K85)*(1-0.002516*K85)*4950*COS(2*Q85-2*P85-O85)  +4130*COS(2*Q85+O85-2*R85) -(1-0.002516*K85)*3958*COS(4*Q85-P85-O85) +3258*COS(3*Q85-O85) +(1-0.002516*K85)*2616*COS(2*Q85+P85+O85) -(1-0.002516*K85)*1897*COS(4*Q85-P85-2*O85)  -(1-0.002516*K85)*(1-0.002516*K85)*2117*COS(2*P85-O85) +(1-0.002516*K85)*(1-0.002516*K85)*2354*COS(2*Q85+2*P85-O85) -1423*COS(4*Q85+O85) -1117*COS(4*O85) -(1-0.002516*K85)*1571*COS(4*Q85-P85)  -1739*COS(Q85-2*O85) -4421*COS(2*O85-2*R85) +(1-0.002516*K85)*(1-0.002516*K85)*1165*COS(2*P85+O85) +8752*COS(2*Q85-O85-2*R85))/1000</f>
        <v>382298.648386976</v>
      </c>
      <c r="AT85" s="24" t="n">
        <f aca="false">60*ATAN(3476/AS85)/$E$6</f>
        <v>31.2563974422509</v>
      </c>
      <c r="AU85" s="28" t="n">
        <f aca="false">ATAN(0.99664719*TAN($E$6*input!$D$2))</f>
        <v>0.871010436227447</v>
      </c>
      <c r="AV85" s="28" t="n">
        <f aca="false">COS(AU85)</f>
        <v>0.644053912545846</v>
      </c>
      <c r="AW85" s="28" t="n">
        <f aca="false">0.99664719*SIN(AU85)</f>
        <v>0.762415269897027</v>
      </c>
      <c r="AX85" s="28" t="n">
        <f aca="false">6378.14/AS85</f>
        <v>0.0166836582522882</v>
      </c>
      <c r="AY85" s="31" t="n">
        <f aca="false">L85-15*AF85</f>
        <v>341.288991628498</v>
      </c>
      <c r="AZ85" s="29" t="n">
        <f aca="false">COS($E$6*AE85)*SIN($E$6*AY85)</f>
        <v>-0.320794956722929</v>
      </c>
      <c r="BA85" s="29" t="n">
        <f aca="false">COS($E$6*AE85)*COS($E$6*AY85)-AV85*AX85</f>
        <v>0.936403432629754</v>
      </c>
      <c r="BB85" s="29" t="n">
        <f aca="false">SIN($E$6*AE85)-AW85*AX85</f>
        <v>-0.0130516884800137</v>
      </c>
      <c r="BC85" s="45" t="n">
        <f aca="false">SQRT(AZ85^2+BA85^2+BB85^2)</f>
        <v>0.989914713231312</v>
      </c>
      <c r="BD85" s="20" t="n">
        <f aca="false">AS85*BC85</f>
        <v>378443.056886712</v>
      </c>
      <c r="BE85" s="30" t="str">
        <f aca="false">IF(OR(AND(BD85&gt;BD84,BD85&gt;BD86),AND(BD85&lt;BD84,BD85&lt;BD86)),BD85,"")</f>
        <v/>
      </c>
    </row>
    <row r="86" customFormat="false" ht="15" hidden="false" customHeight="false" outlineLevel="0" collapsed="false">
      <c r="A86" s="31" t="n">
        <v>42</v>
      </c>
      <c r="F86" s="38" t="n">
        <f aca="false">AK86</f>
        <v>38.419610519248</v>
      </c>
      <c r="G86" s="39" t="n">
        <f aca="false">F86+1.02/(TAN($E$6*(F86+10.3/(F86+5.11)))*60)</f>
        <v>38.440863239233</v>
      </c>
      <c r="H86" s="38" t="n">
        <f aca="false">100*(1+COS($E$6*AO86))/2</f>
        <v>72.6506313852748</v>
      </c>
      <c r="I86" s="38" t="n">
        <f aca="false">IF(AG86&gt;180, AR86-180,AR86+180)</f>
        <v>165.18501893761</v>
      </c>
      <c r="J86" s="31" t="n">
        <f aca="false">J85+0.5/24</f>
        <v>2459916.25000001</v>
      </c>
      <c r="K86" s="47" t="n">
        <f aca="false">(J86-2451545)/36525</f>
        <v>0.229192334017949</v>
      </c>
      <c r="L86" s="31" t="n">
        <f aca="false">MOD(280.46061837+360.98564736629*(J86-2451545)+0.000387933*K86^2-K86^3/38710000+$E$4,360)</f>
        <v>356.5611558198</v>
      </c>
      <c r="M86" s="28" t="n">
        <f aca="false">0.606433+1336.855225*K86 - INT(0.606433+1336.855225*K86)</f>
        <v>0.00340226184039238</v>
      </c>
      <c r="N86" s="31" t="n">
        <f aca="false">22640*SIN(O86)-4586*SIN(O86-2*Q86)+2370*SIN(2*Q86)+769*SIN(2*O86)-668*SIN(P86)-412*SIN(2*R86)-212*SIN(2*O86-2*Q86)-206*SIN(O86+P86-2*Q86)+192*SIN(O86+2*Q86)-165*SIN(P86-2*Q86)-125*SIN(Q86)-110*SIN(O86+P86)+148*SIN(O86-P86)-55*SIN(2*R86-2*Q86)</f>
        <v>22185.6564164732</v>
      </c>
      <c r="O86" s="29" t="n">
        <f aca="false">2*PI()*(0.374897+1325.55241*K86 - INT(0.374897+1325.55241*K86))</f>
        <v>1.13944127335443</v>
      </c>
      <c r="P86" s="32" t="n">
        <f aca="false">2*PI()*(0.993133+99.997361*K86 - INT(0.993133+99.997361*K86))</f>
        <v>5.72876685770911</v>
      </c>
      <c r="Q86" s="32" t="n">
        <f aca="false">2*PI()*(0.827361+1236.853086*K86 - INT(0.827361+1236.853086*K86))</f>
        <v>1.91389982444454</v>
      </c>
      <c r="R86" s="32" t="n">
        <f aca="false">2*PI()*(0.259086+1342.227825*K86 - INT(0.259086+1342.227825*K86))</f>
        <v>5.57578657844667</v>
      </c>
      <c r="S86" s="32" t="n">
        <f aca="false">R86+(N86+412*SIN(2*R86)+541*SIN(P86))/206264.8062</f>
        <v>5.67999170638385</v>
      </c>
      <c r="T86" s="32" t="n">
        <f aca="false">R86-2*Q86</f>
        <v>1.74798692955759</v>
      </c>
      <c r="U86" s="24" t="n">
        <f aca="false">-526*SIN(T86)+44*SIN(O86+T86)-31*SIN(-O86+T86)-23*SIN(P86+T86)+11*SIN(-P86+T86)-25*SIN(-2*O86+R86)+21*SIN(-O86+R86)</f>
        <v>-553.958522570207</v>
      </c>
      <c r="V86" s="32" t="n">
        <f aca="false">2*PI()*(M86+N86/1296000-INT(M86+N86/1296000))</f>
        <v>0.128936139157749</v>
      </c>
      <c r="W86" s="31" t="n">
        <f aca="false">V86/$E$6</f>
        <v>7.38749660045049</v>
      </c>
      <c r="X86" s="32" t="n">
        <f aca="false">(18520*SIN(S86)+U86)/206264.8062</f>
        <v>-0.0536199015261131</v>
      </c>
      <c r="Y86" s="32" t="n">
        <f aca="false">COS(X86)*COS(V86)</f>
        <v>0.990273972588558</v>
      </c>
      <c r="Z86" s="32" t="n">
        <f aca="false">COS(X86)*SIN(V86)</f>
        <v>0.128394391256599</v>
      </c>
      <c r="AA86" s="32" t="n">
        <f aca="false">SIN(X86)</f>
        <v>-0.0535942115113578</v>
      </c>
      <c r="AB86" s="32" t="n">
        <f aca="false">COS($E$6*(23.4393-46.815*K86/3600))*Z86-SIN($E$6*(23.4393-46.815*K86/3600))*AA86</f>
        <v>0.13911820226397</v>
      </c>
      <c r="AC86" s="32" t="n">
        <f aca="false">SIN($E$6*(23.4393-46.815*K86/3600))*Z86+COS($E$6*(23.4393-46.815*K86/3600))*AA86</f>
        <v>0.00189341292849814</v>
      </c>
      <c r="AD86" s="32" t="n">
        <f aca="false">SQRT(1-AC86*AC86)</f>
        <v>0.999998207492135</v>
      </c>
      <c r="AE86" s="31" t="n">
        <f aca="false">ATAN(AC86/AD86)/$E$6</f>
        <v>0.10848463449831</v>
      </c>
      <c r="AF86" s="32" t="n">
        <f aca="false">IF(24*ATAN(AB86/(Y86+AD86))/PI()&gt;0,24*ATAN(AB86/(Y86+AD86))/PI(),24*ATAN(AB86/(Y86+AD86))/PI()+24)</f>
        <v>0.533122537647885</v>
      </c>
      <c r="AG86" s="31" t="n">
        <f aca="false">IF(L86-15*AF86&gt;0,L86-15*AF86,360+L86-15*AF86)</f>
        <v>348.564317755082</v>
      </c>
      <c r="AH86" s="29" t="n">
        <f aca="false">0.950724+0.051818*COS(O86)+0.009531*COS(2*Q86-O86)+0.007843*COS(2*Q86)+0.002824*COS(2*O86)+0.000857*COS(2*Q86+O86)+0.000533*COS(2*Q86-P86)*(1-0.002495*(J86-2415020)/36525)+0.000401*COS(2*Q86-P86-O86)*(1-0.002495*(J86-2415020)/36525)+0.00032*COS(O86-P86)*(1-0.002495*(J86-2415020)/36525)-0.000271*COS(Q86)</f>
        <v>0.955614117484452</v>
      </c>
      <c r="AI86" s="32" t="n">
        <f aca="false">ASIN(COS($E$6*$E$2)*COS($E$6*AE86)*COS($E$6*AG86)+SIN($E$6*$E$2)*SIN($E$6*AE86))/$E$6</f>
        <v>39.1591201157865</v>
      </c>
      <c r="AJ86" s="29" t="n">
        <f aca="false">ASIN((0.9983271+0.0016764*COS($E$6*2*$E$2))*COS($E$6*AI86)*SIN($E$6*AH86))/$E$6</f>
        <v>0.739509596538505</v>
      </c>
      <c r="AK86" s="29" t="n">
        <f aca="false">AI86-AJ86</f>
        <v>38.419610519248</v>
      </c>
      <c r="AL86" s="31" t="n">
        <f aca="false"> MOD(280.4664567 + 360007.6982779*K86/10 + 0.03032028*K86^2/100 + K86^3/49931000,360)</f>
        <v>251.566935901368</v>
      </c>
      <c r="AM86" s="29" t="n">
        <f aca="false"> AL86 + (1.9146 - 0.004817*K86 - 0.000014*K86^2)*SIN(P86)+ (0.019993 - 0.000101*K86)*SIN(2*P86)+ 0.00029*SIN(3*P86)</f>
        <v>250.541412945787</v>
      </c>
      <c r="AN86" s="29" t="n">
        <f aca="false">ACOS(COS(V86-$E$6*AM86)*COS(X86))/$E$6</f>
        <v>116.804412380361</v>
      </c>
      <c r="AO86" s="24" t="n">
        <f aca="false">180 - AN86 -0.1468*(1-0.0549*SIN(P86))*SIN($E$6*AN86)/(1-0.0167*SIN($E$6*AM86))</f>
        <v>63.0628640683482</v>
      </c>
      <c r="AP86" s="48" t="n">
        <f aca="false">SIN($E$6*AG86)</f>
        <v>-0.198267788094687</v>
      </c>
      <c r="AQ86" s="48" t="n">
        <f aca="false">COS($E$6*AG86)*SIN($E$6*$E$2) - TAN($E$6*AE86)*COS($E$6*$E$2)</f>
        <v>0.749619779209331</v>
      </c>
      <c r="AR86" s="48" t="n">
        <f aca="false">IF(OR(AND(AP86*AQ86&gt;0), AND(AP86&lt;0,AQ86&gt;0)), MOD(ATAN2(AQ86,AP86)/$E$6+360,360),  ATAN2(AQ86,AP86)/$E$6)</f>
        <v>345.18501893761</v>
      </c>
      <c r="AS86" s="20" t="n">
        <f aca="false"> 385000.56 + (-20905355*COS(O86) - 3699111*COS(2*Q86-O86) - 2955968*COS(2*Q86) - 569925*COS(2*O86) + (1-0.002516*K86)*48888*COS(P86) - 3149*COS(2*R86)  +246158*COS(2*Q86-2*O86) -(1-0.002516*K86)*152138*COS(2*Q86-P86-O86) -170733*COS(2*Q86+O86) -(1-0.002516*K86)*204586*COS(2*Q86-P86) -(1-0.002516*K86)*129620*COS(P86-O86)  + 108743*COS(Q86) +(1-0.002516*K86)*104755*COS(P86+O86) +10321*COS(2*Q86-2*R86) +79661*COS(O86-2*R86) -34782*COS(4*Q86-O86) -23210*COS(3*O86)  -21636*COS(4*Q86-2*O86) +(1-0.002516*K86)*24208*COS(2*Q86+P86-O86) +(1-0.002516*K86)*30824*COS(2*Q86+P86) -8379*COS(Q86-O86) -(1-0.002516*K86)*16675*COS(Q86+P86)  -(1-0.002516*K86)*12831*COS(2*Q86-P86+O86) -10445*COS(2*Q86+2*O86) -11650*COS(4*Q86) +14403*COS(2*Q86-3*O86) -(1-0.002516*K86)*7003*COS(P86-2*O86)  + (1-0.002516*K86)*10056*COS(2*Q86-P86-2*O86) +6322*COS(Q86+O86) -(1-0.002516*K86)*(1-0.002516*K86)*9884*COS(2*Q86-2*P86) +(1-0.002516*K86)*5751*COS(P86+2*O86) -(1-0.002516*K86)*(1-0.002516*K86)*4950*COS(2*Q86-2*P86-O86)  +4130*COS(2*Q86+O86-2*R86) -(1-0.002516*K86)*3958*COS(4*Q86-P86-O86) +3258*COS(3*Q86-O86) +(1-0.002516*K86)*2616*COS(2*Q86+P86+O86) -(1-0.002516*K86)*1897*COS(4*Q86-P86-2*O86)  -(1-0.002516*K86)*(1-0.002516*K86)*2117*COS(2*P86-O86) +(1-0.002516*K86)*(1-0.002516*K86)*2354*COS(2*Q86+2*P86-O86) -1423*COS(4*Q86+O86) -1117*COS(4*O86) -(1-0.002516*K86)*1571*COS(4*Q86-P86)  -1739*COS(Q86-2*O86) -4421*COS(2*O86-2*R86) +(1-0.002516*K86)*(1-0.002516*K86)*1165*COS(2*P86+O86) +8752*COS(2*Q86-O86-2*R86))/1000</f>
        <v>382379.204587649</v>
      </c>
      <c r="AT86" s="24" t="n">
        <f aca="false">60*ATAN(3476/AS86)/$E$6</f>
        <v>31.2498129892351</v>
      </c>
      <c r="AU86" s="28" t="n">
        <f aca="false">ATAN(0.99664719*TAN($E$6*input!$D$2))</f>
        <v>0.871010436227447</v>
      </c>
      <c r="AV86" s="28" t="n">
        <f aca="false">COS(AU86)</f>
        <v>0.644053912545846</v>
      </c>
      <c r="AW86" s="28" t="n">
        <f aca="false">0.99664719*SIN(AU86)</f>
        <v>0.762415269897027</v>
      </c>
      <c r="AX86" s="28" t="n">
        <f aca="false">6378.14/AS86</f>
        <v>0.0166801434897017</v>
      </c>
      <c r="AY86" s="31" t="n">
        <f aca="false">L86-15*AF86</f>
        <v>348.564317755082</v>
      </c>
      <c r="AZ86" s="29" t="n">
        <f aca="false">COS($E$6*AE86)*SIN($E$6*AY86)</f>
        <v>-0.198267432698117</v>
      </c>
      <c r="BA86" s="29" t="n">
        <f aca="false">COS($E$6*AE86)*COS($E$6*AY86)-AV86*AX86</f>
        <v>0.969403220346189</v>
      </c>
      <c r="BB86" s="29" t="n">
        <f aca="false">SIN($E$6*AE86)-AW86*AX86</f>
        <v>-0.0108237831721239</v>
      </c>
      <c r="BC86" s="45" t="n">
        <f aca="false">SQRT(AZ86^2+BA86^2+BB86^2)</f>
        <v>0.989530056526036</v>
      </c>
      <c r="BD86" s="20" t="n">
        <f aca="false">AS86*BC86</f>
        <v>378375.715929997</v>
      </c>
      <c r="BE86" s="30" t="str">
        <f aca="false">IF(OR(AND(BD86&gt;BD85,BD86&gt;BD87),AND(BD86&lt;BD85,BD86&lt;BD87)),BD86,"")</f>
        <v/>
      </c>
    </row>
    <row r="87" customFormat="false" ht="15" hidden="false" customHeight="false" outlineLevel="0" collapsed="false">
      <c r="A87" s="31" t="n">
        <v>42.5</v>
      </c>
      <c r="F87" s="38" t="n">
        <f aca="false">AK87</f>
        <v>39.3796575810394</v>
      </c>
      <c r="G87" s="39" t="n">
        <f aca="false">F87+1.02/(TAN($E$6*(F87+10.3/(F87+5.11)))*60)</f>
        <v>39.4001988945593</v>
      </c>
      <c r="H87" s="38" t="n">
        <f aca="false">100*(1+COS($E$6*AO87))/2</f>
        <v>72.8484613150561</v>
      </c>
      <c r="I87" s="38" t="n">
        <f aca="false">IF(AG87&gt;180, AR87-180,AR87+180)</f>
        <v>174.557116925978</v>
      </c>
      <c r="J87" s="31" t="n">
        <f aca="false">J86+0.5/24</f>
        <v>2459916.27083334</v>
      </c>
      <c r="K87" s="47" t="n">
        <f aca="false">(J87-2451545)/36525</f>
        <v>0.229192904403534</v>
      </c>
      <c r="L87" s="31" t="n">
        <f aca="false">MOD(280.46061837+360.98564736629*(J87-2451545)+0.000387933*K87^2-K87^3/38710000+$E$4,360)</f>
        <v>4.08169019594789</v>
      </c>
      <c r="M87" s="28" t="n">
        <f aca="false">0.606433+1336.855225*K87 - INT(0.606433+1336.855225*K87)</f>
        <v>0.00416478478985027</v>
      </c>
      <c r="N87" s="31" t="n">
        <f aca="false">22640*SIN(O87)-4586*SIN(O87-2*Q87)+2370*SIN(2*Q87)+769*SIN(2*O87)-668*SIN(P87)-412*SIN(2*R87)-212*SIN(2*O87-2*Q87)-206*SIN(O87+P87-2*Q87)+192*SIN(O87+2*Q87)-165*SIN(P87-2*Q87)-125*SIN(Q87)-110*SIN(O87+P87)+148*SIN(O87-P87)-55*SIN(2*R87-2*Q87)</f>
        <v>22190.6694226298</v>
      </c>
      <c r="O87" s="29" t="n">
        <f aca="false">2*PI()*(0.374897+1325.55241*K87 - INT(0.374897+1325.55241*K87))</f>
        <v>1.14419183888527</v>
      </c>
      <c r="P87" s="32" t="n">
        <f aca="false">2*PI()*(0.993133+99.997361*K87 - INT(0.993133+99.997361*K87))</f>
        <v>5.729125232084</v>
      </c>
      <c r="Q87" s="32" t="n">
        <f aca="false">2*PI()*(0.827361+1236.853086*K87 - INT(0.827361+1236.853086*K87))</f>
        <v>1.91833250593816</v>
      </c>
      <c r="R87" s="32" t="n">
        <f aca="false">2*PI()*(0.259086+1342.227825*K87 - INT(0.259086+1342.227825*K87))</f>
        <v>5.58059690596898</v>
      </c>
      <c r="S87" s="32" t="n">
        <f aca="false">R87+(N87+412*SIN(2*R87)+541*SIN(P87))/206264.8062</f>
        <v>5.68483021378831</v>
      </c>
      <c r="T87" s="32" t="n">
        <f aca="false">R87-2*Q87</f>
        <v>1.74393189409265</v>
      </c>
      <c r="U87" s="24" t="n">
        <f aca="false">-526*SIN(T87)+44*SIN(O87+T87)-31*SIN(-O87+T87)-23*SIN(P87+T87)+11*SIN(-P87+T87)-25*SIN(-2*O87+R87)+21*SIN(-O87+R87)</f>
        <v>-554.187623355262</v>
      </c>
      <c r="V87" s="32" t="n">
        <f aca="false">2*PI()*(M87+N87/1296000-INT(M87+N87/1296000))</f>
        <v>0.133751515889852</v>
      </c>
      <c r="W87" s="31" t="n">
        <f aca="false">V87/$E$6</f>
        <v>7.66339736396547</v>
      </c>
      <c r="X87" s="32" t="n">
        <f aca="false">(18520*SIN(S87)+U87)/206264.8062</f>
        <v>-0.0532626459411434</v>
      </c>
      <c r="Y87" s="32" t="n">
        <f aca="false">COS(X87)*COS(V87)</f>
        <v>0.989663139140162</v>
      </c>
      <c r="Z87" s="32" t="n">
        <f aca="false">COS(X87)*SIN(V87)</f>
        <v>0.133163971272776</v>
      </c>
      <c r="AA87" s="32" t="n">
        <f aca="false">SIN(X87)</f>
        <v>-0.0532374659624508</v>
      </c>
      <c r="AB87" s="32" t="n">
        <f aca="false">COS($E$6*(23.4393-46.815*K87/3600))*Z87-SIN($E$6*(23.4393-46.815*K87/3600))*AA87</f>
        <v>0.143352416509989</v>
      </c>
      <c r="AC87" s="32" t="n">
        <f aca="false">SIN($E$6*(23.4393-46.815*K87/3600))*Z87+COS($E$6*(23.4393-46.815*K87/3600))*AA87</f>
        <v>0.0041177309269314</v>
      </c>
      <c r="AD87" s="32" t="n">
        <f aca="false">SQRT(1-AC87*AC87)</f>
        <v>0.999991522110069</v>
      </c>
      <c r="AE87" s="31" t="n">
        <f aca="false">ATAN(AC87/AD87)/$E$6</f>
        <v>0.235929270011499</v>
      </c>
      <c r="AF87" s="32" t="n">
        <f aca="false">IF(24*ATAN(AB87/(Y87+AD87))/PI()&gt;0,24*ATAN(AB87/(Y87+AD87))/PI(),24*ATAN(AB87/(Y87+AD87))/PI()+24)</f>
        <v>0.549463550650454</v>
      </c>
      <c r="AG87" s="31" t="n">
        <f aca="false">IF(L87-15*AF87&gt;0,L87-15*AF87,360+L87-15*AF87)</f>
        <v>355.839736936191</v>
      </c>
      <c r="AH87" s="29" t="n">
        <f aca="false">0.950724+0.051818*COS(O87)+0.009531*COS(2*Q87-O87)+0.007843*COS(2*Q87)+0.002824*COS(2*O87)+0.000857*COS(2*Q87+O87)+0.000533*COS(2*Q87-P87)*(1-0.002495*(J87-2415020)/36525)+0.000401*COS(2*Q87-P87-O87)*(1-0.002495*(J87-2415020)/36525)+0.00032*COS(O87-P87)*(1-0.002495*(J87-2415020)/36525)-0.000271*COS(Q87)</f>
        <v>0.955412601477208</v>
      </c>
      <c r="AI87" s="32" t="n">
        <f aca="false">ASIN(COS($E$6*$E$2)*COS($E$6*AE87)*COS($E$6*AG87)+SIN($E$6*$E$2)*SIN($E$6*AE87))/$E$6</f>
        <v>40.1089279817591</v>
      </c>
      <c r="AJ87" s="29" t="n">
        <f aca="false">ASIN((0.9983271+0.0016764*COS($E$6*2*$E$2))*COS($E$6*AI87)*SIN($E$6*AH87))/$E$6</f>
        <v>0.729270400719741</v>
      </c>
      <c r="AK87" s="29" t="n">
        <f aca="false">AI87-AJ87</f>
        <v>39.3796575810394</v>
      </c>
      <c r="AL87" s="31" t="n">
        <f aca="false"> MOD(280.4664567 + 360007.6982779*K87/10 + 0.03032028*K87^2/100 + K87^3/49931000,360)</f>
        <v>251.587470221601</v>
      </c>
      <c r="AM87" s="29" t="n">
        <f aca="false"> AL87 + (1.9146 - 0.004817*K87 - 0.000014*K87^2)*SIN(P87)+ (0.019993 - 0.000101*K87)*SIN(2*P87)+ 0.00029*SIN(3*P87)</f>
        <v>250.562536714961</v>
      </c>
      <c r="AN87" s="29" t="n">
        <f aca="false">ACOS(COS(V87-$E$6*AM87)*COS(X87))/$E$6</f>
        <v>117.059287942516</v>
      </c>
      <c r="AO87" s="24" t="n">
        <f aca="false">180 - AN87 -0.1468*(1-0.0549*SIN(P87))*SIN($E$6*AN87)/(1-0.0167*SIN($E$6*AM87))</f>
        <v>62.8082905333263</v>
      </c>
      <c r="AP87" s="48" t="n">
        <f aca="false">SIN($E$6*AG87)</f>
        <v>-0.0725465017166335</v>
      </c>
      <c r="AQ87" s="48" t="n">
        <f aca="false">COS($E$6*AG87)*SIN($E$6*$E$2) - TAN($E$6*AE87)*COS($E$6*$E$2)</f>
        <v>0.761379090909577</v>
      </c>
      <c r="AR87" s="48" t="n">
        <f aca="false">IF(OR(AND(AP87*AQ87&gt;0), AND(AP87&lt;0,AQ87&gt;0)), MOD(ATAN2(AQ87,AP87)/$E$6+360,360),  ATAN2(AQ87,AP87)/$E$6)</f>
        <v>354.557116925978</v>
      </c>
      <c r="AS87" s="20" t="n">
        <f aca="false"> 385000.56 + (-20905355*COS(O87) - 3699111*COS(2*Q87-O87) - 2955968*COS(2*Q87) - 569925*COS(2*O87) + (1-0.002516*K87)*48888*COS(P87) - 3149*COS(2*R87)  +246158*COS(2*Q87-2*O87) -(1-0.002516*K87)*152138*COS(2*Q87-P87-O87) -170733*COS(2*Q87+O87) -(1-0.002516*K87)*204586*COS(2*Q87-P87) -(1-0.002516*K87)*129620*COS(P87-O87)  + 108743*COS(Q87) +(1-0.002516*K87)*104755*COS(P87+O87) +10321*COS(2*Q87-2*R87) +79661*COS(O87-2*R87) -34782*COS(4*Q87-O87) -23210*COS(3*O87)  -21636*COS(4*Q87-2*O87) +(1-0.002516*K87)*24208*COS(2*Q87+P87-O87) +(1-0.002516*K87)*30824*COS(2*Q87+P87) -8379*COS(Q87-O87) -(1-0.002516*K87)*16675*COS(Q87+P87)  -(1-0.002516*K87)*12831*COS(2*Q87-P87+O87) -10445*COS(2*Q87+2*O87) -11650*COS(4*Q87) +14403*COS(2*Q87-3*O87) -(1-0.002516*K87)*7003*COS(P87-2*O87)  + (1-0.002516*K87)*10056*COS(2*Q87-P87-2*O87) +6322*COS(Q87+O87) -(1-0.002516*K87)*(1-0.002516*K87)*9884*COS(2*Q87-2*P87) +(1-0.002516*K87)*5751*COS(P87+2*O87) -(1-0.002516*K87)*(1-0.002516*K87)*4950*COS(2*Q87-2*P87-O87)  +4130*COS(2*Q87+O87-2*R87) -(1-0.002516*K87)*3958*COS(4*Q87-P87-O87) +3258*COS(3*Q87-O87) +(1-0.002516*K87)*2616*COS(2*Q87+P87+O87) -(1-0.002516*K87)*1897*COS(4*Q87-P87-2*O87)  -(1-0.002516*K87)*(1-0.002516*K87)*2117*COS(2*P87-O87) +(1-0.002516*K87)*(1-0.002516*K87)*2354*COS(2*Q87+2*P87-O87) -1423*COS(4*Q87+O87) -1117*COS(4*O87) -(1-0.002516*K87)*1571*COS(4*Q87-P87)  -1739*COS(Q87-2*O87) -4421*COS(2*O87-2*R87) +(1-0.002516*K87)*(1-0.002516*K87)*1165*COS(2*P87+O87) +8752*COS(2*Q87-O87-2*R87))/1000</f>
        <v>382459.699934065</v>
      </c>
      <c r="AT87" s="24" t="n">
        <f aca="false">60*ATAN(3476/AS87)/$E$6</f>
        <v>31.2432362806382</v>
      </c>
      <c r="AU87" s="28" t="n">
        <f aca="false">ATAN(0.99664719*TAN($E$6*input!$D$2))</f>
        <v>0.871010436227447</v>
      </c>
      <c r="AV87" s="28" t="n">
        <f aca="false">COS(AU87)</f>
        <v>0.644053912545846</v>
      </c>
      <c r="AW87" s="28" t="n">
        <f aca="false">0.99664719*SIN(AU87)</f>
        <v>0.762415269897027</v>
      </c>
      <c r="AX87" s="28" t="n">
        <f aca="false">6378.14/AS87</f>
        <v>0.0166766328611866</v>
      </c>
      <c r="AY87" s="31" t="n">
        <f aca="false">L87-15*AF87</f>
        <v>-4.16026306380892</v>
      </c>
      <c r="AZ87" s="29" t="n">
        <f aca="false">COS($E$6*AE87)*SIN($E$6*AY87)</f>
        <v>-0.0725458866753764</v>
      </c>
      <c r="BA87" s="29" t="n">
        <f aca="false">COS($E$6*AE87)*COS($E$6*AY87)-AV87*AX87</f>
        <v>0.986615924820268</v>
      </c>
      <c r="BB87" s="29" t="n">
        <f aca="false">SIN($E$6*AE87)-AW87*AX87</f>
        <v>-0.00859678861690383</v>
      </c>
      <c r="BC87" s="45" t="n">
        <f aca="false">SQRT(AZ87^2+BA87^2+BB87^2)</f>
        <v>0.989316831736423</v>
      </c>
      <c r="BD87" s="20" t="n">
        <f aca="false">AS87*BC87</f>
        <v>378373.818605632</v>
      </c>
      <c r="BE87" s="49" t="n">
        <f aca="false">IF(OR(AND(BD87&gt;BD86,BD87&gt;BD88),AND(BD87&lt;BD86,BD87&lt;BD88)),BD87,"")</f>
        <v>378373.818605632</v>
      </c>
    </row>
    <row r="88" customFormat="false" ht="15" hidden="false" customHeight="false" outlineLevel="0" collapsed="false">
      <c r="A88" s="31" t="n">
        <v>43</v>
      </c>
      <c r="F88" s="38" t="n">
        <f aca="false">AK88</f>
        <v>39.5647807754751</v>
      </c>
      <c r="G88" s="39" t="n">
        <f aca="false">F88+1.02/(TAN($E$6*(F88+10.3/(F88+5.11)))*60)</f>
        <v>39.5851881869543</v>
      </c>
      <c r="H88" s="38" t="n">
        <f aca="false">100*(1+COS($E$6*AO88))/2</f>
        <v>73.0457537097514</v>
      </c>
      <c r="I88" s="38" t="n">
        <f aca="false">IF(AG88&gt;180, AR88-180,AR88+180)</f>
        <v>184.085547096609</v>
      </c>
      <c r="J88" s="31" t="n">
        <f aca="false">J87+0.5/24</f>
        <v>2459916.29166667</v>
      </c>
      <c r="K88" s="47" t="n">
        <f aca="false">(J88-2451545)/36525</f>
        <v>0.229193474789119</v>
      </c>
      <c r="L88" s="31" t="n">
        <f aca="false">MOD(280.46061837+360.98564736629*(J88-2451545)+0.000387933*K88^2-K88^3/38710000+$E$4,360)</f>
        <v>11.602224572096</v>
      </c>
      <c r="M88" s="28" t="n">
        <f aca="false">0.606433+1336.855225*K88 - INT(0.606433+1336.855225*K88)</f>
        <v>0.00492730773925132</v>
      </c>
      <c r="N88" s="31" t="n">
        <f aca="false">22640*SIN(O88)-4586*SIN(O88-2*Q88)+2370*SIN(2*Q88)+769*SIN(2*O88)-668*SIN(P88)-412*SIN(2*R88)-212*SIN(2*O88-2*Q88)-206*SIN(O88+P88-2*Q88)+192*SIN(O88+2*Q88)-165*SIN(P88-2*Q88)-125*SIN(Q88)-110*SIN(O88+P88)+148*SIN(O88-P88)-55*SIN(2*R88-2*Q88)</f>
        <v>22195.2598796301</v>
      </c>
      <c r="O88" s="29" t="n">
        <f aca="false">2*PI()*(0.374897+1325.55241*K88 - INT(0.374897+1325.55241*K88))</f>
        <v>1.1489424044161</v>
      </c>
      <c r="P88" s="32" t="n">
        <f aca="false">2*PI()*(0.993133+99.997361*K88 - INT(0.993133+99.997361*K88))</f>
        <v>5.7294836064589</v>
      </c>
      <c r="Q88" s="32" t="n">
        <f aca="false">2*PI()*(0.827361+1236.853086*K88 - INT(0.827361+1236.853086*K88))</f>
        <v>1.92276518743214</v>
      </c>
      <c r="R88" s="32" t="n">
        <f aca="false">2*PI()*(0.259086+1342.227825*K88 - INT(0.259086+1342.227825*K88))</f>
        <v>5.58540723349093</v>
      </c>
      <c r="S88" s="32" t="n">
        <f aca="false">R88+(N88+412*SIN(2*R88)+541*SIN(P88))/206264.8062</f>
        <v>5.6896668551387</v>
      </c>
      <c r="T88" s="32" t="n">
        <f aca="false">R88-2*Q88</f>
        <v>1.73987685862665</v>
      </c>
      <c r="U88" s="24" t="n">
        <f aca="false">-526*SIN(T88)+44*SIN(O88+T88)-31*SIN(-O88+T88)-23*SIN(P88+T88)+11*SIN(-P88+T88)-25*SIN(-2*O88+R88)+21*SIN(-O88+R88)</f>
        <v>-554.406803670269</v>
      </c>
      <c r="V88" s="32" t="n">
        <f aca="false">2*PI()*(M88+N88/1296000-INT(M88+N88/1296000))</f>
        <v>0.138564844045479</v>
      </c>
      <c r="W88" s="31" t="n">
        <f aca="false">V88/$E$6</f>
        <v>7.9391807526944</v>
      </c>
      <c r="X88" s="32" t="n">
        <f aca="false">(18520*SIN(S88)+U88)/206264.8062</f>
        <v>-0.0529042971172043</v>
      </c>
      <c r="Y88" s="32" t="n">
        <f aca="false">COS(X88)*COS(V88)</f>
        <v>0.989029546651475</v>
      </c>
      <c r="Z88" s="32" t="n">
        <f aca="false">COS(X88)*SIN(V88)</f>
        <v>0.137928609929552</v>
      </c>
      <c r="AA88" s="32" t="n">
        <f aca="false">SIN(X88)</f>
        <v>-0.0528796219093828</v>
      </c>
      <c r="AB88" s="32" t="n">
        <f aca="false">COS($E$6*(23.4393-46.815*K88/3600))*Z88-SIN($E$6*(23.4393-46.815*K88/3600))*AA88</f>
        <v>0.147581660138445</v>
      </c>
      <c r="AC88" s="32" t="n">
        <f aca="false">SIN($E$6*(23.4393-46.815*K88/3600))*Z88+COS($E$6*(23.4393-46.815*K88/3600))*AA88</f>
        <v>0.00634109148003611</v>
      </c>
      <c r="AD88" s="32" t="n">
        <f aca="false">SQRT(1-AC88*AC88)</f>
        <v>0.999979895077317</v>
      </c>
      <c r="AE88" s="31" t="n">
        <f aca="false">ATAN(AC88/AD88)/$E$6</f>
        <v>0.363320214157302</v>
      </c>
      <c r="AF88" s="32" t="n">
        <f aca="false">IF(24*ATAN(AB88/(Y88+AD88))/PI()&gt;0,24*ATAN(AB88/(Y88+AD88))/PI(),24*ATAN(AB88/(Y88+AD88))/PI()+24)</f>
        <v>0.565798534638653</v>
      </c>
      <c r="AG88" s="31" t="n">
        <f aca="false">IF(L88-15*AF88&gt;0,L88-15*AF88,360+L88-15*AF88)</f>
        <v>3.11524655251623</v>
      </c>
      <c r="AH88" s="29" t="n">
        <f aca="false">0.950724+0.051818*COS(O88)+0.009531*COS(2*Q88-O88)+0.007843*COS(2*Q88)+0.002824*COS(2*O88)+0.000857*COS(2*Q88+O88)+0.000533*COS(2*Q88-P88)*(1-0.002495*(J88-2415020)/36525)+0.000401*COS(2*Q88-P88-O88)*(1-0.002495*(J88-2415020)/36525)+0.00032*COS(O88-P88)*(1-0.002495*(J88-2415020)/36525)-0.000271*COS(Q88)</f>
        <v>0.955211362589256</v>
      </c>
      <c r="AI88" s="32" t="n">
        <f aca="false">ASIN(COS($E$6*$E$2)*COS($E$6*AE88)*COS($E$6*AG88)+SIN($E$6*$E$2)*SIN($E$6*AE88))/$E$6</f>
        <v>40.2919320881386</v>
      </c>
      <c r="AJ88" s="29" t="n">
        <f aca="false">ASIN((0.9983271+0.0016764*COS($E$6*2*$E$2))*COS($E$6*AI88)*SIN($E$6*AH88))/$E$6</f>
        <v>0.727151312663524</v>
      </c>
      <c r="AK88" s="29" t="n">
        <f aca="false">AI88-AJ88</f>
        <v>39.5647807754751</v>
      </c>
      <c r="AL88" s="31" t="n">
        <f aca="false"> MOD(280.4664567 + 360007.6982779*K88/10 + 0.03032028*K88^2/100 + K88^3/49931000,360)</f>
        <v>251.608004541835</v>
      </c>
      <c r="AM88" s="29" t="n">
        <f aca="false"> AL88 + (1.9146 - 0.004817*K88 - 0.000014*K88^2)*SIN(P88)+ (0.019993 - 0.000101*K88)*SIN(2*P88)+ 0.00029*SIN(3*P88)</f>
        <v>250.583660622952</v>
      </c>
      <c r="AN88" s="29" t="n">
        <f aca="false">ACOS(COS(V88-$E$6*AM88)*COS(X88))/$E$6</f>
        <v>117.314054327181</v>
      </c>
      <c r="AO88" s="24" t="n">
        <f aca="false">180 - AN88 -0.1468*(1-0.0549*SIN(P88))*SIN($E$6*AN88)/(1-0.0167*SIN($E$6*AM88))</f>
        <v>62.5538286553763</v>
      </c>
      <c r="AP88" s="48" t="n">
        <f aca="false">SIN($E$6*AG88)</f>
        <v>0.0543445242122057</v>
      </c>
      <c r="AQ88" s="48" t="n">
        <f aca="false">COS($E$6*AG88)*SIN($E$6*$E$2) - TAN($E$6*AE88)*COS($E$6*$E$2)</f>
        <v>0.760836359717781</v>
      </c>
      <c r="AR88" s="48" t="n">
        <f aca="false">IF(OR(AND(AP88*AQ88&gt;0), AND(AP88&lt;0,AQ88&gt;0)), MOD(ATAN2(AQ88,AP88)/$E$6+360,360),  ATAN2(AQ88,AP88)/$E$6)</f>
        <v>4.08554709660933</v>
      </c>
      <c r="AS88" s="20" t="n">
        <f aca="false"> 385000.56 + (-20905355*COS(O88) - 3699111*COS(2*Q88-O88) - 2955968*COS(2*Q88) - 569925*COS(2*O88) + (1-0.002516*K88)*48888*COS(P88) - 3149*COS(2*R88)  +246158*COS(2*Q88-2*O88) -(1-0.002516*K88)*152138*COS(2*Q88-P88-O88) -170733*COS(2*Q88+O88) -(1-0.002516*K88)*204586*COS(2*Q88-P88) -(1-0.002516*K88)*129620*COS(P88-O88)  + 108743*COS(Q88) +(1-0.002516*K88)*104755*COS(P88+O88) +10321*COS(2*Q88-2*R88) +79661*COS(O88-2*R88) -34782*COS(4*Q88-O88) -23210*COS(3*O88)  -21636*COS(4*Q88-2*O88) +(1-0.002516*K88)*24208*COS(2*Q88+P88-O88) +(1-0.002516*K88)*30824*COS(2*Q88+P88) -8379*COS(Q88-O88) -(1-0.002516*K88)*16675*COS(Q88+P88)  -(1-0.002516*K88)*12831*COS(2*Q88-P88+O88) -10445*COS(2*Q88+2*O88) -11650*COS(4*Q88) +14403*COS(2*Q88-3*O88) -(1-0.002516*K88)*7003*COS(P88-2*O88)  + (1-0.002516*K88)*10056*COS(2*Q88-P88-2*O88) +6322*COS(Q88+O88) -(1-0.002516*K88)*(1-0.002516*K88)*9884*COS(2*Q88-2*P88) +(1-0.002516*K88)*5751*COS(P88+2*O88) -(1-0.002516*K88)*(1-0.002516*K88)*4950*COS(2*Q88-2*P88-O88)  +4130*COS(2*Q88+O88-2*R88) -(1-0.002516*K88)*3958*COS(4*Q88-P88-O88) +3258*COS(3*Q88-O88) +(1-0.002516*K88)*2616*COS(2*Q88+P88+O88) -(1-0.002516*K88)*1897*COS(4*Q88-P88-2*O88)  -(1-0.002516*K88)*(1-0.002516*K88)*2117*COS(2*P88-O88) +(1-0.002516*K88)*(1-0.002516*K88)*2354*COS(2*Q88+2*P88-O88) -1423*COS(4*Q88+O88) -1117*COS(4*O88) -(1-0.002516*K88)*1571*COS(4*Q88-P88)  -1739*COS(Q88-2*O88) -4421*COS(2*O88-2*R88) +(1-0.002516*K88)*(1-0.002516*K88)*1165*COS(2*P88+O88) +8752*COS(2*Q88-O88-2*R88))/1000</f>
        <v>382540.133718393</v>
      </c>
      <c r="AT88" s="24" t="n">
        <f aca="false">60*ATAN(3476/AS88)/$E$6</f>
        <v>31.236667366229</v>
      </c>
      <c r="AU88" s="28" t="n">
        <f aca="false">ATAN(0.99664719*TAN($E$6*input!$D$2))</f>
        <v>0.871010436227447</v>
      </c>
      <c r="AV88" s="28" t="n">
        <f aca="false">COS(AU88)</f>
        <v>0.644053912545846</v>
      </c>
      <c r="AW88" s="28" t="n">
        <f aca="false">0.99664719*SIN(AU88)</f>
        <v>0.762415269897027</v>
      </c>
      <c r="AX88" s="28" t="n">
        <f aca="false">6378.14/AS88</f>
        <v>0.0166731263933088</v>
      </c>
      <c r="AY88" s="31" t="n">
        <f aca="false">L88-15*AF88</f>
        <v>3.11524655251623</v>
      </c>
      <c r="AZ88" s="29" t="n">
        <f aca="false">COS($E$6*AE88)*SIN($E$6*AY88)</f>
        <v>0.0543434316197482</v>
      </c>
      <c r="BA88" s="29" t="n">
        <f aca="false">COS($E$6*AE88)*COS($E$6*AY88)-AV88*AX88</f>
        <v>0.987763776962857</v>
      </c>
      <c r="BB88" s="29" t="n">
        <f aca="false">SIN($E$6*AE88)-AW88*AX88</f>
        <v>-0.00637075467914564</v>
      </c>
      <c r="BC88" s="45" t="n">
        <f aca="false">SQRT(AZ88^2+BA88^2+BB88^2)</f>
        <v>0.989278057047321</v>
      </c>
      <c r="BD88" s="20" t="n">
        <f aca="false">AS88*BC88</f>
        <v>378438.560227554</v>
      </c>
      <c r="BE88" s="30" t="str">
        <f aca="false">IF(OR(AND(BD88&gt;BD87,BD88&gt;BD89),AND(BD88&lt;BD87,BD88&lt;BD89)),BD88,"")</f>
        <v/>
      </c>
    </row>
    <row r="89" customFormat="false" ht="15" hidden="false" customHeight="false" outlineLevel="0" collapsed="false">
      <c r="A89" s="31" t="n">
        <v>43.5</v>
      </c>
      <c r="F89" s="38" t="n">
        <f aca="false">AK89</f>
        <v>38.9678065452111</v>
      </c>
      <c r="G89" s="39" t="n">
        <f aca="false">F89+1.02/(TAN($E$6*(F89+10.3/(F89+5.11)))*60)</f>
        <v>38.9886495021767</v>
      </c>
      <c r="H89" s="38" t="n">
        <f aca="false">100*(1+COS($E$6*AO89))/2</f>
        <v>73.2425054341051</v>
      </c>
      <c r="I89" s="38" t="n">
        <f aca="false">IF(AG89&gt;180, AR89-180,AR89+180)</f>
        <v>193.557102353594</v>
      </c>
      <c r="J89" s="31" t="n">
        <f aca="false">J88+0.5/24</f>
        <v>2459916.31250001</v>
      </c>
      <c r="K89" s="47" t="n">
        <f aca="false">(J89-2451545)/36525</f>
        <v>0.229194045174704</v>
      </c>
      <c r="L89" s="31" t="n">
        <f aca="false">MOD(280.46061837+360.98564736629*(J89-2451545)+0.000387933*K89^2-K89^3/38710000+$E$4,360)</f>
        <v>19.1227589487098</v>
      </c>
      <c r="M89" s="28" t="n">
        <f aca="false">0.606433+1336.855225*K89 - INT(0.606433+1336.855225*K89)</f>
        <v>0.00568983068870921</v>
      </c>
      <c r="N89" s="31" t="n">
        <f aca="false">22640*SIN(O89)-4586*SIN(O89-2*Q89)+2370*SIN(2*Q89)+769*SIN(2*O89)-668*SIN(P89)-412*SIN(2*R89)-212*SIN(2*O89-2*Q89)-206*SIN(O89+P89-2*Q89)+192*SIN(O89+2*Q89)-165*SIN(P89-2*Q89)-125*SIN(Q89)-110*SIN(O89+P89)+148*SIN(O89-P89)-55*SIN(2*R89-2*Q89)</f>
        <v>22199.4287592181</v>
      </c>
      <c r="O89" s="29" t="n">
        <f aca="false">2*PI()*(0.374897+1325.55241*K89 - INT(0.374897+1325.55241*K89))</f>
        <v>1.15369296994658</v>
      </c>
      <c r="P89" s="32" t="n">
        <f aca="false">2*PI()*(0.993133+99.997361*K89 - INT(0.993133+99.997361*K89))</f>
        <v>5.7298419808338</v>
      </c>
      <c r="Q89" s="32" t="n">
        <f aca="false">2*PI()*(0.827361+1236.853086*K89 - INT(0.827361+1236.853086*K89))</f>
        <v>1.92719786892612</v>
      </c>
      <c r="R89" s="32" t="n">
        <f aca="false">2*PI()*(0.259086+1342.227825*K89 - INT(0.259086+1342.227825*K89))</f>
        <v>5.59021756101324</v>
      </c>
      <c r="S89" s="32" t="n">
        <f aca="false">R89+(N89+412*SIN(2*R89)+541*SIN(P89))/206264.8062</f>
        <v>5.69450163484512</v>
      </c>
      <c r="T89" s="32" t="n">
        <f aca="false">R89-2*Q89</f>
        <v>1.735821823161</v>
      </c>
      <c r="U89" s="24" t="n">
        <f aca="false">-526*SIN(T89)+44*SIN(O89+T89)-31*SIN(-O89+T89)-23*SIN(P89+T89)+11*SIN(-P89+T89)-25*SIN(-2*O89+R89)+21*SIN(-O89+R89)</f>
        <v>-554.616073562256</v>
      </c>
      <c r="V89" s="32" t="n">
        <f aca="false">2*PI()*(M89+N89/1296000-INT(M89+N89/1296000))</f>
        <v>0.143376128336492</v>
      </c>
      <c r="W89" s="31" t="n">
        <f aca="false">V89/$E$6</f>
        <v>8.21484703660702</v>
      </c>
      <c r="X89" s="32" t="n">
        <f aca="false">(18520*SIN(S89)+U89)/206264.8062</f>
        <v>-0.0525448645459537</v>
      </c>
      <c r="Y89" s="32" t="n">
        <f aca="false">COS(X89)*COS(V89)</f>
        <v>0.988373236017495</v>
      </c>
      <c r="Z89" s="32" t="n">
        <f aca="false">COS(X89)*SIN(V89)</f>
        <v>0.142688204035145</v>
      </c>
      <c r="AA89" s="32" t="n">
        <f aca="false">SIN(X89)</f>
        <v>-0.0525206888143057</v>
      </c>
      <c r="AB89" s="32" t="n">
        <f aca="false">COS($E$6*(23.4393-46.815*K89/3600))*Z89-SIN($E$6*(23.4393-46.815*K89/3600))*AA89</f>
        <v>0.15180584223398</v>
      </c>
      <c r="AC89" s="32" t="n">
        <f aca="false">SIN($E$6*(23.4393-46.815*K89/3600))*Z89+COS($E$6*(23.4393-46.815*K89/3600))*AA89</f>
        <v>0.00856344486384187</v>
      </c>
      <c r="AD89" s="32" t="n">
        <f aca="false">SQRT(1-AC89*AC89)</f>
        <v>0.999963333033799</v>
      </c>
      <c r="AE89" s="31" t="n">
        <f aca="false">ATAN(AC89/AD89)/$E$6</f>
        <v>0.490655245752218</v>
      </c>
      <c r="AF89" s="32" t="n">
        <f aca="false">IF(24*ATAN(AB89/(Y89+AD89))/PI()&gt;0,24*ATAN(AB89/(Y89+AD89))/PI(),24*ATAN(AB89/(Y89+AD89))/PI()+24)</f>
        <v>0.582127663847835</v>
      </c>
      <c r="AG89" s="31" t="n">
        <f aca="false">IF(L89-15*AF89&gt;0,L89-15*AF89,360+L89-15*AF89)</f>
        <v>10.3908439909923</v>
      </c>
      <c r="AH89" s="29" t="n">
        <f aca="false">0.950724+0.051818*COS(O89)+0.009531*COS(2*Q89-O89)+0.007843*COS(2*Q89)+0.002824*COS(2*O89)+0.000857*COS(2*Q89+O89)+0.000533*COS(2*Q89-P89)*(1-0.002495*(J89-2415020)/36525)+0.000401*COS(2*Q89-P89-O89)*(1-0.002495*(J89-2415020)/36525)+0.00032*COS(O89-P89)*(1-0.002495*(J89-2415020)/36525)-0.000271*COS(Q89)</f>
        <v>0.955010402079166</v>
      </c>
      <c r="AI89" s="32" t="n">
        <f aca="false">ASIN(COS($E$6*$E$2)*COS($E$6*AE89)*COS($E$6*AG89)+SIN($E$6*$E$2)*SIN($E$6*AE89))/$E$6</f>
        <v>39.7011221444327</v>
      </c>
      <c r="AJ89" s="29" t="n">
        <f aca="false">ASIN((0.9983271+0.0016764*COS($E$6*2*$E$2))*COS($E$6*AI89)*SIN($E$6*AH89))/$E$6</f>
        <v>0.733315599221604</v>
      </c>
      <c r="AK89" s="29" t="n">
        <f aca="false">AI89-AJ89</f>
        <v>38.9678065452111</v>
      </c>
      <c r="AL89" s="31" t="n">
        <f aca="false"> MOD(280.4664567 + 360007.6982779*K89/10 + 0.03032028*K89^2/100 + K89^3/49931000,360)</f>
        <v>251.628538862071</v>
      </c>
      <c r="AM89" s="29" t="n">
        <f aca="false"> AL89 + (1.9146 - 0.004817*K89 - 0.000014*K89^2)*SIN(P89)+ (0.019993 - 0.000101*K89)*SIN(2*P89)+ 0.00029*SIN(3*P89)</f>
        <v>250.604784669682</v>
      </c>
      <c r="AN89" s="29" t="n">
        <f aca="false">ACOS(COS(V89-$E$6*AM89)*COS(X89))/$E$6</f>
        <v>117.568711732677</v>
      </c>
      <c r="AO89" s="24" t="n">
        <f aca="false">180 - AN89 -0.1468*(1-0.0549*SIN(P89))*SIN($E$6*AN89)/(1-0.0167*SIN($E$6*AM89))</f>
        <v>62.2994782269433</v>
      </c>
      <c r="AP89" s="48" t="n">
        <f aca="false">SIN($E$6*AG89)</f>
        <v>0.180361965762851</v>
      </c>
      <c r="AQ89" s="48" t="n">
        <f aca="false">COS($E$6*AG89)*SIN($E$6*$E$2) - TAN($E$6*AE89)*COS($E$6*$E$2)</f>
        <v>0.747976870310976</v>
      </c>
      <c r="AR89" s="48" t="n">
        <f aca="false">IF(OR(AND(AP89*AQ89&gt;0), AND(AP89&lt;0,AQ89&gt;0)), MOD(ATAN2(AQ89,AP89)/$E$6+360,360),  ATAN2(AQ89,AP89)/$E$6)</f>
        <v>13.5571023535941</v>
      </c>
      <c r="AS89" s="20" t="n">
        <f aca="false"> 385000.56 + (-20905355*COS(O89) - 3699111*COS(2*Q89-O89) - 2955968*COS(2*Q89) - 569925*COS(2*O89) + (1-0.002516*K89)*48888*COS(P89) - 3149*COS(2*R89)  +246158*COS(2*Q89-2*O89) -(1-0.002516*K89)*152138*COS(2*Q89-P89-O89) -170733*COS(2*Q89+O89) -(1-0.002516*K89)*204586*COS(2*Q89-P89) -(1-0.002516*K89)*129620*COS(P89-O89)  + 108743*COS(Q89) +(1-0.002516*K89)*104755*COS(P89+O89) +10321*COS(2*Q89-2*R89) +79661*COS(O89-2*R89) -34782*COS(4*Q89-O89) -23210*COS(3*O89)  -21636*COS(4*Q89-2*O89) +(1-0.002516*K89)*24208*COS(2*Q89+P89-O89) +(1-0.002516*K89)*30824*COS(2*Q89+P89) -8379*COS(Q89-O89) -(1-0.002516*K89)*16675*COS(Q89+P89)  -(1-0.002516*K89)*12831*COS(2*Q89-P89+O89) -10445*COS(2*Q89+2*O89) -11650*COS(4*Q89) +14403*COS(2*Q89-3*O89) -(1-0.002516*K89)*7003*COS(P89-2*O89)  + (1-0.002516*K89)*10056*COS(2*Q89-P89-2*O89) +6322*COS(Q89+O89) -(1-0.002516*K89)*(1-0.002516*K89)*9884*COS(2*Q89-2*P89) +(1-0.002516*K89)*5751*COS(P89+2*O89) -(1-0.002516*K89)*(1-0.002516*K89)*4950*COS(2*Q89-2*P89-O89)  +4130*COS(2*Q89+O89-2*R89) -(1-0.002516*K89)*3958*COS(4*Q89-P89-O89) +3258*COS(3*Q89-O89) +(1-0.002516*K89)*2616*COS(2*Q89+P89+O89) -(1-0.002516*K89)*1897*COS(4*Q89-P89-2*O89)  -(1-0.002516*K89)*(1-0.002516*K89)*2117*COS(2*P89-O89) +(1-0.002516*K89)*(1-0.002516*K89)*2354*COS(2*Q89+2*P89-O89) -1423*COS(4*Q89+O89) -1117*COS(4*O89) -(1-0.002516*K89)*1571*COS(4*Q89-P89)  -1739*COS(Q89-2*O89) -4421*COS(2*O89-2*R89) +(1-0.002516*K89)*(1-0.002516*K89)*1165*COS(2*P89+O89) +8752*COS(2*Q89-O89-2*R89))/1000</f>
        <v>382620.505243506</v>
      </c>
      <c r="AT89" s="24" t="n">
        <f aca="false">60*ATAN(3476/AS89)/$E$6</f>
        <v>31.2301062948195</v>
      </c>
      <c r="AU89" s="28" t="n">
        <f aca="false">ATAN(0.99664719*TAN($E$6*input!$D$2))</f>
        <v>0.871010436227447</v>
      </c>
      <c r="AV89" s="28" t="n">
        <f aca="false">COS(AU89)</f>
        <v>0.644053912545846</v>
      </c>
      <c r="AW89" s="28" t="n">
        <f aca="false">0.99664719*SIN(AU89)</f>
        <v>0.762415269897027</v>
      </c>
      <c r="AX89" s="28" t="n">
        <f aca="false">6378.14/AS89</f>
        <v>0.0166696241121234</v>
      </c>
      <c r="AY89" s="31" t="n">
        <f aca="false">L89-15*AF89</f>
        <v>10.3908439909923</v>
      </c>
      <c r="AZ89" s="29" t="n">
        <f aca="false">COS($E$6*AE89)*SIN($E$6*AY89)</f>
        <v>0.180355352436749</v>
      </c>
      <c r="BA89" s="29" t="n">
        <f aca="false">COS($E$6*AE89)*COS($E$6*AY89)-AV89*AX89</f>
        <v>0.97282810339671</v>
      </c>
      <c r="BB89" s="29" t="n">
        <f aca="false">SIN($E$6*AE89)-AW89*AX89</f>
        <v>-0.0041457311026847</v>
      </c>
      <c r="BC89" s="45" t="n">
        <f aca="false">SQRT(AZ89^2+BA89^2+BB89^2)</f>
        <v>0.989413846172268</v>
      </c>
      <c r="BD89" s="20" t="n">
        <f aca="false">AS89*BC89</f>
        <v>378570.025717354</v>
      </c>
      <c r="BE89" s="30" t="str">
        <f aca="false">IF(OR(AND(BD89&gt;BD88,BD89&gt;BD90),AND(BD89&lt;BD88,BD89&lt;BD90)),BD89,"")</f>
        <v/>
      </c>
    </row>
    <row r="90" customFormat="false" ht="15" hidden="false" customHeight="false" outlineLevel="0" collapsed="false">
      <c r="A90" s="31" t="n">
        <v>44</v>
      </c>
      <c r="F90" s="38" t="n">
        <f aca="false">AK90</f>
        <v>37.6200660085879</v>
      </c>
      <c r="G90" s="39" t="n">
        <f aca="false">F90+1.02/(TAN($E$6*(F90+10.3/(F90+5.11)))*60)</f>
        <v>37.641934072681</v>
      </c>
      <c r="H90" s="38" t="n">
        <f aca="false">100*(1+COS($E$6*AO90))/2</f>
        <v>73.4387133698912</v>
      </c>
      <c r="I90" s="38" t="n">
        <f aca="false">IF(AG90&gt;180, AR90-180,AR90+180)</f>
        <v>202.770484303509</v>
      </c>
      <c r="J90" s="31" t="n">
        <f aca="false">J89+0.5/24</f>
        <v>2459916.33333334</v>
      </c>
      <c r="K90" s="47" t="n">
        <f aca="false">(J90-2451545)/36525</f>
        <v>0.229194615560289</v>
      </c>
      <c r="L90" s="31" t="n">
        <f aca="false">MOD(280.46061837+360.98564736629*(J90-2451545)+0.000387933*K90^2-K90^3/38710000+$E$4,360)</f>
        <v>26.643293324858</v>
      </c>
      <c r="M90" s="28" t="n">
        <f aca="false">0.606433+1336.855225*K90 - INT(0.606433+1336.855225*K90)</f>
        <v>0.0064523536381671</v>
      </c>
      <c r="N90" s="31" t="n">
        <f aca="false">22640*SIN(O90)-4586*SIN(O90-2*Q90)+2370*SIN(2*Q90)+769*SIN(2*O90)-668*SIN(P90)-412*SIN(2*R90)-212*SIN(2*O90-2*Q90)-206*SIN(O90+P90-2*Q90)+192*SIN(O90+2*Q90)-165*SIN(P90-2*Q90)-125*SIN(Q90)-110*SIN(O90+P90)+148*SIN(O90-P90)-55*SIN(2*R90-2*Q90)</f>
        <v>22203.1770357215</v>
      </c>
      <c r="O90" s="29" t="n">
        <f aca="false">2*PI()*(0.374897+1325.55241*K90 - INT(0.374897+1325.55241*K90))</f>
        <v>1.15844353547742</v>
      </c>
      <c r="P90" s="32" t="n">
        <f aca="false">2*PI()*(0.993133+99.997361*K90 - INT(0.993133+99.997361*K90))</f>
        <v>5.73020035520872</v>
      </c>
      <c r="Q90" s="32" t="n">
        <f aca="false">2*PI()*(0.827361+1236.853086*K90 - INT(0.827361+1236.853086*K90))</f>
        <v>1.93163055041974</v>
      </c>
      <c r="R90" s="32" t="n">
        <f aca="false">2*PI()*(0.259086+1342.227825*K90 - INT(0.259086+1342.227825*K90))</f>
        <v>5.59502788853519</v>
      </c>
      <c r="S90" s="32" t="n">
        <f aca="false">R90+(N90+412*SIN(2*R90)+541*SIN(P90))/206264.8062</f>
        <v>5.69933455731192</v>
      </c>
      <c r="T90" s="32" t="n">
        <f aca="false">R90-2*Q90</f>
        <v>1.73176678769571</v>
      </c>
      <c r="U90" s="24" t="n">
        <f aca="false">-526*SIN(T90)+44*SIN(O90+T90)-31*SIN(-O90+T90)-23*SIN(P90+T90)+11*SIN(-P90+T90)-25*SIN(-2*O90+R90)+21*SIN(-O90+R90)</f>
        <v>-554.815443321471</v>
      </c>
      <c r="V90" s="32" t="n">
        <f aca="false">2*PI()*(M90+N90/1296000-INT(M90+N90/1296000))</f>
        <v>0.148185373486207</v>
      </c>
      <c r="W90" s="31" t="n">
        <f aca="false">V90/$E$6</f>
        <v>8.49039648632946</v>
      </c>
      <c r="X90" s="32" t="n">
        <f aca="false">(18520*SIN(S90)+U90)/206264.8062</f>
        <v>-0.0521843577238714</v>
      </c>
      <c r="Y90" s="32" t="n">
        <f aca="false">COS(X90)*COS(V90)</f>
        <v>0.987694248547871</v>
      </c>
      <c r="Z90" s="32" t="n">
        <f aca="false">COS(X90)*SIN(V90)</f>
        <v>0.147442650713743</v>
      </c>
      <c r="AA90" s="32" t="n">
        <f aca="false">SIN(X90)</f>
        <v>-0.0521606761455579</v>
      </c>
      <c r="AB90" s="32" t="n">
        <f aca="false">COS($E$6*(23.4393-46.815*K90/3600))*Z90-SIN($E$6*(23.4393-46.815*K90/3600))*AA90</f>
        <v>0.156024872173598</v>
      </c>
      <c r="AC90" s="32" t="n">
        <f aca="false">SIN($E$6*(23.4393-46.815*K90/3600))*Z90+COS($E$6*(23.4393-46.815*K90/3600))*AA90</f>
        <v>0.0107847414743719</v>
      </c>
      <c r="AD90" s="32" t="n">
        <f aca="false">SQRT(1-AC90*AC90)</f>
        <v>0.999941842984546</v>
      </c>
      <c r="AE90" s="31" t="n">
        <f aca="false">ATAN(AC90/AD90)/$E$6</f>
        <v>0.617932148697491</v>
      </c>
      <c r="AF90" s="32" t="n">
        <f aca="false">IF(24*ATAN(AB90/(Y90+AD90))/PI()&gt;0,24*ATAN(AB90/(Y90+AD90))/PI(),24*ATAN(AB90/(Y90+AD90))/PI()+24)</f>
        <v>0.598451112115816</v>
      </c>
      <c r="AG90" s="31" t="n">
        <f aca="false">IF(L90-15*AF90&gt;0,L90-15*AF90,360+L90-15*AF90)</f>
        <v>17.6665266431207</v>
      </c>
      <c r="AH90" s="29" t="n">
        <f aca="false">0.950724+0.051818*COS(O90)+0.009531*COS(2*Q90-O90)+0.007843*COS(2*Q90)+0.002824*COS(2*O90)+0.000857*COS(2*Q90+O90)+0.000533*COS(2*Q90-P90)*(1-0.002495*(J90-2415020)/36525)+0.000401*COS(2*Q90-P90-O90)*(1-0.002495*(J90-2415020)/36525)+0.00032*COS(O90-P90)*(1-0.002495*(J90-2415020)/36525)-0.000271*COS(Q90)</f>
        <v>0.954809721168858</v>
      </c>
      <c r="AI90" s="32" t="n">
        <f aca="false">ASIN(COS($E$6*$E$2)*COS($E$6*AE90)*COS($E$6*AG90)+SIN($E$6*$E$2)*SIN($E$6*AE90))/$E$6</f>
        <v>38.3671998421572</v>
      </c>
      <c r="AJ90" s="29" t="n">
        <f aca="false">ASIN((0.9983271+0.0016764*COS($E$6*2*$E$2))*COS($E$6*AI90)*SIN($E$6*AH90))/$E$6</f>
        <v>0.747133833569291</v>
      </c>
      <c r="AK90" s="29" t="n">
        <f aca="false">AI90-AJ90</f>
        <v>37.6200660085879</v>
      </c>
      <c r="AL90" s="31" t="n">
        <f aca="false"> MOD(280.4664567 + 360007.6982779*K90/10 + 0.03032028*K90^2/100 + K90^3/49931000,360)</f>
        <v>251.649073182303</v>
      </c>
      <c r="AM90" s="29" t="n">
        <f aca="false"> AL90 + (1.9146 - 0.004817*K90 - 0.000014*K90^2)*SIN(P90)+ (0.019993 - 0.000101*K90)*SIN(2*P90)+ 0.00029*SIN(3*P90)</f>
        <v>250.625908855067</v>
      </c>
      <c r="AN90" s="29" t="n">
        <f aca="false">ACOS(COS(V90-$E$6*AM90)*COS(X90))/$E$6</f>
        <v>117.823260356786</v>
      </c>
      <c r="AO90" s="24" t="n">
        <f aca="false">180 - AN90 -0.1468*(1-0.0549*SIN(P90))*SIN($E$6*AN90)/(1-0.0167*SIN($E$6*AM90))</f>
        <v>62.0452390409837</v>
      </c>
      <c r="AP90" s="48" t="n">
        <f aca="false">SIN($E$6*AG90)</f>
        <v>0.303476444905757</v>
      </c>
      <c r="AQ90" s="48" t="n">
        <f aca="false">COS($E$6*AG90)*SIN($E$6*$E$2) - TAN($E$6*AE90)*COS($E$6*$E$2)</f>
        <v>0.722984274522151</v>
      </c>
      <c r="AR90" s="48" t="n">
        <f aca="false">IF(OR(AND(AP90*AQ90&gt;0), AND(AP90&lt;0,AQ90&gt;0)), MOD(ATAN2(AQ90,AP90)/$E$6+360,360),  ATAN2(AQ90,AP90)/$E$6)</f>
        <v>22.7704843035089</v>
      </c>
      <c r="AS90" s="20" t="n">
        <f aca="false"> 385000.56 + (-20905355*COS(O90) - 3699111*COS(2*Q90-O90) - 2955968*COS(2*Q90) - 569925*COS(2*O90) + (1-0.002516*K90)*48888*COS(P90) - 3149*COS(2*R90)  +246158*COS(2*Q90-2*O90) -(1-0.002516*K90)*152138*COS(2*Q90-P90-O90) -170733*COS(2*Q90+O90) -(1-0.002516*K90)*204586*COS(2*Q90-P90) -(1-0.002516*K90)*129620*COS(P90-O90)  + 108743*COS(Q90) +(1-0.002516*K90)*104755*COS(P90+O90) +10321*COS(2*Q90-2*R90) +79661*COS(O90-2*R90) -34782*COS(4*Q90-O90) -23210*COS(3*O90)  -21636*COS(4*Q90-2*O90) +(1-0.002516*K90)*24208*COS(2*Q90+P90-O90) +(1-0.002516*K90)*30824*COS(2*Q90+P90) -8379*COS(Q90-O90) -(1-0.002516*K90)*16675*COS(Q90+P90)  -(1-0.002516*K90)*12831*COS(2*Q90-P90+O90) -10445*COS(2*Q90+2*O90) -11650*COS(4*Q90) +14403*COS(2*Q90-3*O90) -(1-0.002516*K90)*7003*COS(P90-2*O90)  + (1-0.002516*K90)*10056*COS(2*Q90-P90-2*O90) +6322*COS(Q90+O90) -(1-0.002516*K90)*(1-0.002516*K90)*9884*COS(2*Q90-2*P90) +(1-0.002516*K90)*5751*COS(P90+2*O90) -(1-0.002516*K90)*(1-0.002516*K90)*4950*COS(2*Q90-2*P90-O90)  +4130*COS(2*Q90+O90-2*R90) -(1-0.002516*K90)*3958*COS(4*Q90-P90-O90) +3258*COS(3*Q90-O90) +(1-0.002516*K90)*2616*COS(2*Q90+P90+O90) -(1-0.002516*K90)*1897*COS(4*Q90-P90-2*O90)  -(1-0.002516*K90)*(1-0.002516*K90)*2117*COS(2*P90-O90) +(1-0.002516*K90)*(1-0.002516*K90)*2354*COS(2*Q90+2*P90-O90) -1423*COS(4*Q90+O90) -1117*COS(4*O90) -(1-0.002516*K90)*1571*COS(4*Q90-P90)  -1739*COS(Q90-2*O90) -4421*COS(2*O90-2*R90) +(1-0.002516*K90)*(1-0.002516*K90)*1165*COS(2*P90+O90) +8752*COS(2*Q90-O90-2*R90))/1000</f>
        <v>382700.813822911</v>
      </c>
      <c r="AT90" s="24" t="n">
        <f aca="false">60*ATAN(3476/AS90)/$E$6</f>
        <v>31.223553114273</v>
      </c>
      <c r="AU90" s="28" t="n">
        <f aca="false">ATAN(0.99664719*TAN($E$6*input!$D$2))</f>
        <v>0.871010436227447</v>
      </c>
      <c r="AV90" s="28" t="n">
        <f aca="false">COS(AU90)</f>
        <v>0.644053912545846</v>
      </c>
      <c r="AW90" s="28" t="n">
        <f aca="false">0.99664719*SIN(AU90)</f>
        <v>0.762415269897027</v>
      </c>
      <c r="AX90" s="28" t="n">
        <f aca="false">6378.14/AS90</f>
        <v>0.0166661260431795</v>
      </c>
      <c r="AY90" s="31" t="n">
        <f aca="false">L90-15*AF90</f>
        <v>17.6665266431207</v>
      </c>
      <c r="AZ90" s="29" t="n">
        <f aca="false">COS($E$6*AE90)*SIN($E$6*AY90)</f>
        <v>0.303458795621461</v>
      </c>
      <c r="BA90" s="29" t="n">
        <f aca="false">COS($E$6*AE90)*COS($E$6*AY90)-AV90*AX90</f>
        <v>0.942049642994134</v>
      </c>
      <c r="BB90" s="29" t="n">
        <f aca="false">SIN($E$6*AE90)-AW90*AX90</f>
        <v>-0.00192176751097667</v>
      </c>
      <c r="BC90" s="45" t="n">
        <f aca="false">SQRT(AZ90^2+BA90^2+BB90^2)</f>
        <v>0.989721407112006</v>
      </c>
      <c r="BD90" s="20" t="n">
        <f aca="false">AS90*BC90</f>
        <v>378767.187959722</v>
      </c>
      <c r="BE90" s="30" t="str">
        <f aca="false">IF(OR(AND(BD90&gt;BD89,BD90&gt;BD91),AND(BD90&lt;BD89,BD90&lt;BD91)),BD90,"")</f>
        <v/>
      </c>
    </row>
    <row r="91" customFormat="false" ht="15" hidden="false" customHeight="false" outlineLevel="0" collapsed="false">
      <c r="A91" s="31" t="n">
        <v>44.5</v>
      </c>
      <c r="F91" s="38" t="n">
        <f aca="false">AK91</f>
        <v>35.5850787695306</v>
      </c>
      <c r="G91" s="39" t="n">
        <f aca="false">F91+1.02/(TAN($E$6*(F91+10.3/(F91+5.11)))*60)</f>
        <v>35.6086167743542</v>
      </c>
      <c r="H91" s="38" t="n">
        <f aca="false">100*(1+COS($E$6*AO91))/2</f>
        <v>73.6343744159313</v>
      </c>
      <c r="I91" s="38" t="n">
        <f aca="false">IF(AG91&gt;180, AR91-180,AR91+180)</f>
        <v>211.571463288756</v>
      </c>
      <c r="J91" s="31" t="n">
        <f aca="false">J90+0.5/24</f>
        <v>2459916.35416667</v>
      </c>
      <c r="K91" s="47" t="n">
        <f aca="false">(J91-2451545)/36525</f>
        <v>0.229195185945874</v>
      </c>
      <c r="L91" s="31" t="n">
        <f aca="false">MOD(280.46061837+360.98564736629*(J91-2451545)+0.000387933*K91^2-K91^3/38710000+$E$4,360)</f>
        <v>34.1638277010061</v>
      </c>
      <c r="M91" s="28" t="n">
        <f aca="false">0.606433+1336.855225*K91 - INT(0.606433+1336.855225*K91)</f>
        <v>0.00721487658762499</v>
      </c>
      <c r="N91" s="31" t="n">
        <f aca="false">22640*SIN(O91)-4586*SIN(O91-2*Q91)+2370*SIN(2*Q91)+769*SIN(2*O91)-668*SIN(P91)-412*SIN(2*R91)-212*SIN(2*O91-2*Q91)-206*SIN(O91+P91-2*Q91)+192*SIN(O91+2*Q91)-165*SIN(P91-2*Q91)-125*SIN(Q91)-110*SIN(O91+P91)+148*SIN(O91-P91)-55*SIN(2*R91-2*Q91)</f>
        <v>22206.5056859076</v>
      </c>
      <c r="O91" s="29" t="n">
        <f aca="false">2*PI()*(0.374897+1325.55241*K91 - INT(0.374897+1325.55241*K91))</f>
        <v>1.16319410100826</v>
      </c>
      <c r="P91" s="32" t="n">
        <f aca="false">2*PI()*(0.993133+99.997361*K91 - INT(0.993133+99.997361*K91))</f>
        <v>5.73055872958361</v>
      </c>
      <c r="Q91" s="32" t="n">
        <f aca="false">2*PI()*(0.827361+1236.853086*K91 - INT(0.827361+1236.853086*K91))</f>
        <v>1.93606323191371</v>
      </c>
      <c r="R91" s="32" t="n">
        <f aca="false">2*PI()*(0.259086+1342.227825*K91 - INT(0.259086+1342.227825*K91))</f>
        <v>5.59983821605749</v>
      </c>
      <c r="S91" s="32" t="n">
        <f aca="false">R91+(N91+412*SIN(2*R91)+541*SIN(P91))/206264.8062</f>
        <v>5.70416562693987</v>
      </c>
      <c r="T91" s="32" t="n">
        <f aca="false">R91-2*Q91</f>
        <v>1.72771175223007</v>
      </c>
      <c r="U91" s="24" t="n">
        <f aca="false">-526*SIN(T91)+44*SIN(O91+T91)-31*SIN(-O91+T91)-23*SIN(P91+T91)+11*SIN(-P91+T91)-25*SIN(-2*O91+R91)+21*SIN(-O91+R91)</f>
        <v>-555.004923479957</v>
      </c>
      <c r="V91" s="32" t="n">
        <f aca="false">2*PI()*(M91+N91/1296000-INT(M91+N91/1296000))</f>
        <v>0.152992584230126</v>
      </c>
      <c r="W91" s="31" t="n">
        <f aca="false">V91/$E$6</f>
        <v>8.76582937318599</v>
      </c>
      <c r="X91" s="32" t="n">
        <f aca="false">(18520*SIN(S91)+U91)/206264.8062</f>
        <v>-0.0518227861518926</v>
      </c>
      <c r="Y91" s="32" t="n">
        <f aca="false">COS(X91)*COS(V91)</f>
        <v>0.986992625964672</v>
      </c>
      <c r="Z91" s="32" t="n">
        <f aca="false">COS(X91)*SIN(V91)</f>
        <v>0.152191847407497</v>
      </c>
      <c r="AA91" s="32" t="n">
        <f aca="false">SIN(X91)</f>
        <v>-0.0517995933772989</v>
      </c>
      <c r="AB91" s="32" t="n">
        <f aca="false">COS($E$6*(23.4393-46.815*K91/3600))*Z91-SIN($E$6*(23.4393-46.815*K91/3600))*AA91</f>
        <v>0.160238659628347</v>
      </c>
      <c r="AC91" s="32" t="n">
        <f aca="false">SIN($E$6*(23.4393-46.815*K91/3600))*Z91+COS($E$6*(23.4393-46.815*K91/3600))*AA91</f>
        <v>0.0130049318287715</v>
      </c>
      <c r="AD91" s="32" t="n">
        <f aca="false">SQRT(1-AC91*AC91)</f>
        <v>0.999915432298216</v>
      </c>
      <c r="AE91" s="31" t="n">
        <f aca="false">ATAN(AC91/AD91)/$E$6</f>
        <v>0.745148711933739</v>
      </c>
      <c r="AF91" s="32" t="n">
        <f aca="false">IF(24*ATAN(AB91/(Y91+AD91))/PI()&gt;0,24*ATAN(AB91/(Y91+AD91))/PI(),24*ATAN(AB91/(Y91+AD91))/PI()+24)</f>
        <v>0.614769052881907</v>
      </c>
      <c r="AG91" s="31" t="n">
        <f aca="false">IF(L91-15*AF91&gt;0,L91-15*AF91,360+L91-15*AF91)</f>
        <v>24.9422919077775</v>
      </c>
      <c r="AH91" s="29" t="n">
        <f aca="false">0.950724+0.051818*COS(O91)+0.009531*COS(2*Q91-O91)+0.007843*COS(2*Q91)+0.002824*COS(2*O91)+0.000857*COS(2*Q91+O91)+0.000533*COS(2*Q91-P91)*(1-0.002495*(J91-2415020)/36525)+0.000401*COS(2*Q91-P91-O91)*(1-0.002495*(J91-2415020)/36525)+0.00032*COS(O91-P91)*(1-0.002495*(J91-2415020)/36525)-0.000271*COS(Q91)</f>
        <v>0.954609321044104</v>
      </c>
      <c r="AI91" s="32" t="n">
        <f aca="false">ASIN(COS($E$6*$E$2)*COS($E$6*AE91)*COS($E$6*AG91)+SIN($E$6*$E$2)*SIN($E$6*AE91))/$E$6</f>
        <v>36.3523858380624</v>
      </c>
      <c r="AJ91" s="29" t="n">
        <f aca="false">ASIN((0.9983271+0.0016764*COS($E$6*2*$E$2))*COS($E$6*AI91)*SIN($E$6*AH91))/$E$6</f>
        <v>0.767307068531799</v>
      </c>
      <c r="AK91" s="29" t="n">
        <f aca="false">AI91-AJ91</f>
        <v>35.5850787695306</v>
      </c>
      <c r="AL91" s="31" t="n">
        <f aca="false"> MOD(280.4664567 + 360007.6982779*K91/10 + 0.03032028*K91^2/100 + K91^3/49931000,360)</f>
        <v>251.669607502539</v>
      </c>
      <c r="AM91" s="29" t="n">
        <f aca="false"> AL91 + (1.9146 - 0.004817*K91 - 0.000014*K91^2)*SIN(P91)+ (0.019993 - 0.000101*K91)*SIN(2*P91)+ 0.00029*SIN(3*P91)</f>
        <v>250.647033179035</v>
      </c>
      <c r="AN91" s="29" t="n">
        <f aca="false">ACOS(COS(V91-$E$6*AM91)*COS(X91))/$E$6</f>
        <v>118.077700396775</v>
      </c>
      <c r="AO91" s="24" t="n">
        <f aca="false">180 - AN91 -0.1468*(1-0.0549*SIN(P91))*SIN($E$6*AN91)/(1-0.0167*SIN($E$6*AM91))</f>
        <v>61.7911108909423</v>
      </c>
      <c r="AP91" s="48" t="n">
        <f aca="false">SIN($E$6*AG91)</f>
        <v>0.421705217761609</v>
      </c>
      <c r="AQ91" s="48" t="n">
        <f aca="false">COS($E$6*AG91)*SIN($E$6*$E$2) - TAN($E$6*AE91)*COS($E$6*$E$2)</f>
        <v>0.686237649874349</v>
      </c>
      <c r="AR91" s="48" t="n">
        <f aca="false">IF(OR(AND(AP91*AQ91&gt;0), AND(AP91&lt;0,AQ91&gt;0)), MOD(ATAN2(AQ91,AP91)/$E$6+360,360),  ATAN2(AQ91,AP91)/$E$6)</f>
        <v>31.5714632887555</v>
      </c>
      <c r="AS91" s="20" t="n">
        <f aca="false"> 385000.56 + (-20905355*COS(O91) - 3699111*COS(2*Q91-O91) - 2955968*COS(2*Q91) - 569925*COS(2*O91) + (1-0.002516*K91)*48888*COS(P91) - 3149*COS(2*R91)  +246158*COS(2*Q91-2*O91) -(1-0.002516*K91)*152138*COS(2*Q91-P91-O91) -170733*COS(2*Q91+O91) -(1-0.002516*K91)*204586*COS(2*Q91-P91) -(1-0.002516*K91)*129620*COS(P91-O91)  + 108743*COS(Q91) +(1-0.002516*K91)*104755*COS(P91+O91) +10321*COS(2*Q91-2*R91) +79661*COS(O91-2*R91) -34782*COS(4*Q91-O91) -23210*COS(3*O91)  -21636*COS(4*Q91-2*O91) +(1-0.002516*K91)*24208*COS(2*Q91+P91-O91) +(1-0.002516*K91)*30824*COS(2*Q91+P91) -8379*COS(Q91-O91) -(1-0.002516*K91)*16675*COS(Q91+P91)  -(1-0.002516*K91)*12831*COS(2*Q91-P91+O91) -10445*COS(2*Q91+2*O91) -11650*COS(4*Q91) +14403*COS(2*Q91-3*O91) -(1-0.002516*K91)*7003*COS(P91-2*O91)  + (1-0.002516*K91)*10056*COS(2*Q91-P91-2*O91) +6322*COS(Q91+O91) -(1-0.002516*K91)*(1-0.002516*K91)*9884*COS(2*Q91-2*P91) +(1-0.002516*K91)*5751*COS(P91+2*O91) -(1-0.002516*K91)*(1-0.002516*K91)*4950*COS(2*Q91-2*P91-O91)  +4130*COS(2*Q91+O91-2*R91) -(1-0.002516*K91)*3958*COS(4*Q91-P91-O91) +3258*COS(3*Q91-O91) +(1-0.002516*K91)*2616*COS(2*Q91+P91+O91) -(1-0.002516*K91)*1897*COS(4*Q91-P91-2*O91)  -(1-0.002516*K91)*(1-0.002516*K91)*2117*COS(2*P91-O91) +(1-0.002516*K91)*(1-0.002516*K91)*2354*COS(2*Q91+2*P91-O91) -1423*COS(4*Q91+O91) -1117*COS(4*O91) -(1-0.002516*K91)*1571*COS(4*Q91-P91)  -1739*COS(Q91-2*O91) -4421*COS(2*O91-2*R91) +(1-0.002516*K91)*(1-0.002516*K91)*1165*COS(2*P91+O91) +8752*COS(2*Q91-O91-2*R91))/1000</f>
        <v>382781.05878061</v>
      </c>
      <c r="AT91" s="24" t="n">
        <f aca="false">60*ATAN(3476/AS91)/$E$6</f>
        <v>31.2170078715175</v>
      </c>
      <c r="AU91" s="28" t="n">
        <f aca="false">ATAN(0.99664719*TAN($E$6*input!$D$2))</f>
        <v>0.871010436227447</v>
      </c>
      <c r="AV91" s="28" t="n">
        <f aca="false">COS(AU91)</f>
        <v>0.644053912545846</v>
      </c>
      <c r="AW91" s="28" t="n">
        <f aca="false">0.99664719*SIN(AU91)</f>
        <v>0.762415269897027</v>
      </c>
      <c r="AX91" s="28" t="n">
        <f aca="false">6378.14/AS91</f>
        <v>0.0166626322115265</v>
      </c>
      <c r="AY91" s="31" t="n">
        <f aca="false">L91-15*AF91</f>
        <v>24.9422919077775</v>
      </c>
      <c r="AZ91" s="29" t="n">
        <f aca="false">COS($E$6*AE91)*SIN($E$6*AY91)</f>
        <v>0.421669555120513</v>
      </c>
      <c r="BA91" s="29" t="n">
        <f aca="false">COS($E$6*AE91)*COS($E$6*AY91)-AV91*AX91</f>
        <v>0.895924672984737</v>
      </c>
      <c r="BB91" s="29" t="n">
        <f aca="false">SIN($E$6*AE91)-AW91*AX91</f>
        <v>0.000301086594025701</v>
      </c>
      <c r="BC91" s="45" t="n">
        <f aca="false">SQRT(AZ91^2+BA91^2+BB91^2)</f>
        <v>0.99019509392416</v>
      </c>
      <c r="BD91" s="20" t="n">
        <f aca="false">AS91*BC91</f>
        <v>379027.926451656</v>
      </c>
      <c r="BE91" s="30" t="str">
        <f aca="false">IF(OR(AND(BD91&gt;BD90,BD91&gt;BD92),AND(BD91&lt;BD90,BD91&lt;BD92)),BD91,"")</f>
        <v/>
      </c>
    </row>
    <row r="92" customFormat="false" ht="15" hidden="false" customHeight="false" outlineLevel="0" collapsed="false">
      <c r="A92" s="31" t="n">
        <v>45</v>
      </c>
      <c r="F92" s="38" t="n">
        <f aca="false">AK92</f>
        <v>32.9470901878772</v>
      </c>
      <c r="G92" s="39" t="n">
        <f aca="false">F92+1.02/(TAN($E$6*(F92+10.3/(F92+5.11)))*60)</f>
        <v>32.9730513675402</v>
      </c>
      <c r="H92" s="38" t="n">
        <f aca="false">100*(1+COS($E$6*AO92))/2</f>
        <v>73.8294854880689</v>
      </c>
      <c r="I92" s="38" t="n">
        <f aca="false">IF(AG92&gt;180, AR92-180,AR92+180)</f>
        <v>219.870294715537</v>
      </c>
      <c r="J92" s="31" t="n">
        <f aca="false">J91+0.5/24</f>
        <v>2459916.37500001</v>
      </c>
      <c r="K92" s="47" t="n">
        <f aca="false">(J92-2451545)/36525</f>
        <v>0.229195756331458</v>
      </c>
      <c r="L92" s="31" t="n">
        <f aca="false">MOD(280.46061837+360.98564736629*(J92-2451545)+0.000387933*K92^2-K92^3/38710000+$E$4,360)</f>
        <v>41.6843620771542</v>
      </c>
      <c r="M92" s="28" t="n">
        <f aca="false">0.606433+1336.855225*K92 - INT(0.606433+1336.855225*K92)</f>
        <v>0.00797739953702603</v>
      </c>
      <c r="N92" s="31" t="n">
        <f aca="false">22640*SIN(O92)-4586*SIN(O92-2*Q92)+2370*SIN(2*Q92)+769*SIN(2*O92)-668*SIN(P92)-412*SIN(2*R92)-212*SIN(2*O92-2*Q92)-206*SIN(O92+P92-2*Q92)+192*SIN(O92+2*Q92)-165*SIN(P92-2*Q92)-125*SIN(Q92)-110*SIN(O92+P92)+148*SIN(O92-P92)-55*SIN(2*R92-2*Q92)</f>
        <v>22209.4156889205</v>
      </c>
      <c r="O92" s="29" t="n">
        <f aca="false">2*PI()*(0.374897+1325.55241*K92 - INT(0.374897+1325.55241*K92))</f>
        <v>1.16794466653874</v>
      </c>
      <c r="P92" s="32" t="n">
        <f aca="false">2*PI()*(0.993133+99.997361*K92 - INT(0.993133+99.997361*K92))</f>
        <v>5.73091710395851</v>
      </c>
      <c r="Q92" s="32" t="n">
        <f aca="false">2*PI()*(0.827361+1236.853086*K92 - INT(0.827361+1236.853086*K92))</f>
        <v>1.94049591340769</v>
      </c>
      <c r="R92" s="32" t="n">
        <f aca="false">2*PI()*(0.259086+1342.227825*K92 - INT(0.259086+1342.227825*K92))</f>
        <v>5.60464854357944</v>
      </c>
      <c r="S92" s="32" t="n">
        <f aca="false">R92+(N92+412*SIN(2*R92)+541*SIN(P92))/206264.8062</f>
        <v>5.70899484812307</v>
      </c>
      <c r="T92" s="32" t="n">
        <f aca="false">R92-2*Q92</f>
        <v>1.72365671676406</v>
      </c>
      <c r="U92" s="24" t="n">
        <f aca="false">-526*SIN(T92)+44*SIN(O92+T92)-31*SIN(-O92+T92)-23*SIN(P92+T92)+11*SIN(-P92+T92)-25*SIN(-2*O92+R92)+21*SIN(-O92+R92)</f>
        <v>-555.184524810422</v>
      </c>
      <c r="V92" s="32" t="n">
        <f aca="false">2*PI()*(M92+N92/1296000-INT(M92+N92/1296000))</f>
        <v>0.157797765314917</v>
      </c>
      <c r="W92" s="31" t="n">
        <f aca="false">V92/$E$6</f>
        <v>9.04114596914061</v>
      </c>
      <c r="X92" s="32" t="n">
        <f aca="false">(18520*SIN(S92)+U92)/206264.8062</f>
        <v>-0.051460159335441</v>
      </c>
      <c r="Y92" s="32" t="n">
        <f aca="false">COS(X92)*COS(V92)</f>
        <v>0.986268410400401</v>
      </c>
      <c r="Z92" s="32" t="n">
        <f aca="false">COS(X92)*SIN(V92)</f>
        <v>0.156935691876769</v>
      </c>
      <c r="AA92" s="32" t="n">
        <f aca="false">SIN(X92)</f>
        <v>-0.051437449989541</v>
      </c>
      <c r="AB92" s="32" t="n">
        <f aca="false">COS($E$6*(23.4393-46.815*K92/3600))*Z92-SIN($E$6*(23.4393-46.815*K92/3600))*AA92</f>
        <v>0.164447114563567</v>
      </c>
      <c r="AC92" s="32" t="n">
        <f aca="false">SIN($E$6*(23.4393-46.815*K92/3600))*Z92+COS($E$6*(23.4393-46.815*K92/3600))*AA92</f>
        <v>0.015223966565379</v>
      </c>
      <c r="AD92" s="32" t="n">
        <f aca="false">SQRT(1-AC92*AC92)</f>
        <v>0.999884108705612</v>
      </c>
      <c r="AE92" s="31" t="n">
        <f aca="false">ATAN(AC92/AD92)/$E$6</f>
        <v>0.872302729335652</v>
      </c>
      <c r="AF92" s="32" t="n">
        <f aca="false">IF(24*ATAN(AB92/(Y92+AD92))/PI()&gt;0,24*ATAN(AB92/(Y92+AD92))/PI(),24*ATAN(AB92/(Y92+AD92))/PI()+24)</f>
        <v>0.631081659180437</v>
      </c>
      <c r="AG92" s="31" t="n">
        <f aca="false">IF(L92-15*AF92&gt;0,L92-15*AF92,360+L92-15*AF92)</f>
        <v>32.2181371894477</v>
      </c>
      <c r="AH92" s="29" t="n">
        <f aca="false">0.950724+0.051818*COS(O92)+0.009531*COS(2*Q92-O92)+0.007843*COS(2*Q92)+0.002824*COS(2*O92)+0.000857*COS(2*Q92+O92)+0.000533*COS(2*Q92-P92)*(1-0.002495*(J92-2415020)/36525)+0.000401*COS(2*Q92-P92-O92)*(1-0.002495*(J92-2415020)/36525)+0.00032*COS(O92-P92)*(1-0.002495*(J92-2415020)/36525)-0.000271*COS(Q92)</f>
        <v>0.954409202854877</v>
      </c>
      <c r="AI92" s="32" t="n">
        <f aca="false">ASIN(COS($E$6*$E$2)*COS($E$6*AE92)*COS($E$6*AG92)+SIN($E$6*$E$2)*SIN($E$6*AE92))/$E$6</f>
        <v>33.7391823785022</v>
      </c>
      <c r="AJ92" s="29" t="n">
        <f aca="false">ASIN((0.9983271+0.0016764*COS($E$6*2*$E$2))*COS($E$6*AI92)*SIN($E$6*AH92))/$E$6</f>
        <v>0.792092190624987</v>
      </c>
      <c r="AK92" s="29" t="n">
        <f aca="false">AI92-AJ92</f>
        <v>32.9470901878772</v>
      </c>
      <c r="AL92" s="31" t="n">
        <f aca="false"> MOD(280.4664567 + 360007.6982779*K92/10 + 0.03032028*K92^2/100 + K92^3/49931000,360)</f>
        <v>251.690141822774</v>
      </c>
      <c r="AM92" s="29" t="n">
        <f aca="false"> AL92 + (1.9146 - 0.004817*K92 - 0.000014*K92^2)*SIN(P92)+ (0.019993 - 0.000101*K92)*SIN(2*P92)+ 0.00029*SIN(3*P92)</f>
        <v>250.668157641504</v>
      </c>
      <c r="AN92" s="29" t="n">
        <f aca="false">ACOS(COS(V92-$E$6*AM92)*COS(X92))/$E$6</f>
        <v>118.332032049364</v>
      </c>
      <c r="AO92" s="24" t="n">
        <f aca="false">180 - AN92 -0.1468*(1-0.0549*SIN(P92))*SIN($E$6*AN92)/(1-0.0167*SIN($E$6*AM92))</f>
        <v>61.5370935707863</v>
      </c>
      <c r="AP92" s="48" t="n">
        <f aca="false">SIN($E$6*AG92)</f>
        <v>0.533144114922233</v>
      </c>
      <c r="AQ92" s="48" t="n">
        <f aca="false">COS($E$6*AG92)*SIN($E$6*$E$2) - TAN($E$6*AE92)*COS($E$6*$E$2)</f>
        <v>0.638305409548467</v>
      </c>
      <c r="AR92" s="48" t="n">
        <f aca="false">IF(OR(AND(AP92*AQ92&gt;0), AND(AP92&lt;0,AQ92&gt;0)), MOD(ATAN2(AQ92,AP92)/$E$6+360,360),  ATAN2(AQ92,AP92)/$E$6)</f>
        <v>39.8702947155368</v>
      </c>
      <c r="AS92" s="20" t="n">
        <f aca="false"> 385000.56 + (-20905355*COS(O92) - 3699111*COS(2*Q92-O92) - 2955968*COS(2*Q92) - 569925*COS(2*O92) + (1-0.002516*K92)*48888*COS(P92) - 3149*COS(2*R92)  +246158*COS(2*Q92-2*O92) -(1-0.002516*K92)*152138*COS(2*Q92-P92-O92) -170733*COS(2*Q92+O92) -(1-0.002516*K92)*204586*COS(2*Q92-P92) -(1-0.002516*K92)*129620*COS(P92-O92)  + 108743*COS(Q92) +(1-0.002516*K92)*104755*COS(P92+O92) +10321*COS(2*Q92-2*R92) +79661*COS(O92-2*R92) -34782*COS(4*Q92-O92) -23210*COS(3*O92)  -21636*COS(4*Q92-2*O92) +(1-0.002516*K92)*24208*COS(2*Q92+P92-O92) +(1-0.002516*K92)*30824*COS(2*Q92+P92) -8379*COS(Q92-O92) -(1-0.002516*K92)*16675*COS(Q92+P92)  -(1-0.002516*K92)*12831*COS(2*Q92-P92+O92) -10445*COS(2*Q92+2*O92) -11650*COS(4*Q92) +14403*COS(2*Q92-3*O92) -(1-0.002516*K92)*7003*COS(P92-2*O92)  + (1-0.002516*K92)*10056*COS(2*Q92-P92-2*O92) +6322*COS(Q92+O92) -(1-0.002516*K92)*(1-0.002516*K92)*9884*COS(2*Q92-2*P92) +(1-0.002516*K92)*5751*COS(P92+2*O92) -(1-0.002516*K92)*(1-0.002516*K92)*4950*COS(2*Q92-2*P92-O92)  +4130*COS(2*Q92+O92-2*R92) -(1-0.002516*K92)*3958*COS(4*Q92-P92-O92) +3258*COS(3*Q92-O92) +(1-0.002516*K92)*2616*COS(2*Q92+P92+O92) -(1-0.002516*K92)*1897*COS(4*Q92-P92-2*O92)  -(1-0.002516*K92)*(1-0.002516*K92)*2117*COS(2*P92-O92) +(1-0.002516*K92)*(1-0.002516*K92)*2354*COS(2*Q92+2*P92-O92) -1423*COS(4*Q92+O92) -1117*COS(4*O92) -(1-0.002516*K92)*1571*COS(4*Q92-P92)  -1739*COS(Q92-2*O92) -4421*COS(2*O92-2*R92) +(1-0.002516*K92)*(1-0.002516*K92)*1165*COS(2*P92+O92) +8752*COS(2*Q92-O92-2*R92))/1000</f>
        <v>382861.239451035</v>
      </c>
      <c r="AT92" s="24" t="n">
        <f aca="false">60*ATAN(3476/AS92)/$E$6</f>
        <v>31.2104706125531</v>
      </c>
      <c r="AU92" s="28" t="n">
        <f aca="false">ATAN(0.99664719*TAN($E$6*input!$D$2))</f>
        <v>0.871010436227447</v>
      </c>
      <c r="AV92" s="28" t="n">
        <f aca="false">COS(AU92)</f>
        <v>0.644053912545846</v>
      </c>
      <c r="AW92" s="28" t="n">
        <f aca="false">0.99664719*SIN(AU92)</f>
        <v>0.762415269897027</v>
      </c>
      <c r="AX92" s="28" t="n">
        <f aca="false">6378.14/AS92</f>
        <v>0.0166591426417187</v>
      </c>
      <c r="AY92" s="31" t="n">
        <f aca="false">L92-15*AF92</f>
        <v>32.2181371894477</v>
      </c>
      <c r="AZ92" s="29" t="n">
        <f aca="false">COS($E$6*AE92)*SIN($E$6*AY92)</f>
        <v>0.533082328160659</v>
      </c>
      <c r="BA92" s="29" t="n">
        <f aca="false">COS($E$6*AE92)*COS($E$6*AY92)-AV92*AX92</f>
        <v>0.835197006925598</v>
      </c>
      <c r="BB92" s="29" t="n">
        <f aca="false">SIN($E$6*AE92)-AW92*AX92</f>
        <v>0.00252278183194004</v>
      </c>
      <c r="BC92" s="45" t="n">
        <f aca="false">SQRT(AZ92^2+BA92^2+BB92^2)</f>
        <v>0.990826510244269</v>
      </c>
      <c r="BD92" s="20" t="n">
        <f aca="false">AS92*BC92</f>
        <v>379349.065793065</v>
      </c>
      <c r="BE92" s="30" t="str">
        <f aca="false">IF(OR(AND(BD92&gt;BD91,BD92&gt;BD93),AND(BD92&lt;BD91,BD92&lt;BD93)),BD92,"")</f>
        <v/>
      </c>
    </row>
    <row r="93" customFormat="false" ht="15" hidden="false" customHeight="false" outlineLevel="0" collapsed="false">
      <c r="A93" s="31" t="n">
        <v>45.5</v>
      </c>
      <c r="F93" s="38" t="n">
        <f aca="false">AK93</f>
        <v>29.7989200484666</v>
      </c>
      <c r="G93" s="39" t="n">
        <f aca="false">F93+1.02/(TAN($E$6*(F93+10.3/(F93+5.11)))*60)</f>
        <v>29.8282536979501</v>
      </c>
      <c r="H93" s="38" t="n">
        <f aca="false">100*(1+COS($E$6*AO93))/2</f>
        <v>74.0240435191938</v>
      </c>
      <c r="I93" s="38" t="n">
        <f aca="false">IF(AG93&gt;180, AR93-180,AR93+180)</f>
        <v>227.639818531675</v>
      </c>
      <c r="J93" s="31" t="n">
        <f aca="false">J92+0.5/24</f>
        <v>2459916.39583334</v>
      </c>
      <c r="K93" s="47" t="n">
        <f aca="false">(J93-2451545)/36525</f>
        <v>0.229196326717043</v>
      </c>
      <c r="L93" s="31" t="n">
        <f aca="false">MOD(280.46061837+360.98564736629*(J93-2451545)+0.000387933*K93^2-K93^3/38710000+$E$4,360)</f>
        <v>49.2048964533024</v>
      </c>
      <c r="M93" s="28" t="n">
        <f aca="false">0.606433+1336.855225*K93 - INT(0.606433+1336.855225*K93)</f>
        <v>0.00873992248648392</v>
      </c>
      <c r="N93" s="31" t="n">
        <f aca="false">22640*SIN(O93)-4586*SIN(O93-2*Q93)+2370*SIN(2*Q93)+769*SIN(2*O93)-668*SIN(P93)-412*SIN(2*R93)-212*SIN(2*O93-2*Q93)-206*SIN(O93+P93-2*Q93)+192*SIN(O93+2*Q93)-165*SIN(P93-2*Q93)-125*SIN(Q93)-110*SIN(O93+P93)+148*SIN(O93-P93)-55*SIN(2*R93-2*Q93)</f>
        <v>22211.9080261782</v>
      </c>
      <c r="O93" s="29" t="n">
        <f aca="false">2*PI()*(0.374897+1325.55241*K93 - INT(0.374897+1325.55241*K93))</f>
        <v>1.17269523206958</v>
      </c>
      <c r="P93" s="32" t="n">
        <f aca="false">2*PI()*(0.993133+99.997361*K93 - INT(0.993133+99.997361*K93))</f>
        <v>5.73127547833341</v>
      </c>
      <c r="Q93" s="32" t="n">
        <f aca="false">2*PI()*(0.827361+1236.853086*K93 - INT(0.827361+1236.853086*K93))</f>
        <v>1.94492859490131</v>
      </c>
      <c r="R93" s="32" t="n">
        <f aca="false">2*PI()*(0.259086+1342.227825*K93 - INT(0.259086+1342.227825*K93))</f>
        <v>5.60945887110139</v>
      </c>
      <c r="S93" s="32" t="n">
        <f aca="false">R93+(N93+412*SIN(2*R93)+541*SIN(P93))/206264.8062</f>
        <v>5.71382222525093</v>
      </c>
      <c r="T93" s="32" t="n">
        <f aca="false">R93-2*Q93</f>
        <v>1.71960168129877</v>
      </c>
      <c r="U93" s="24" t="n">
        <f aca="false">-526*SIN(T93)+44*SIN(O93+T93)-31*SIN(-O93+T93)-23*SIN(P93+T93)+11*SIN(-P93+T93)-25*SIN(-2*O93+R93)+21*SIN(-O93+R93)</f>
        <v>-555.354258325016</v>
      </c>
      <c r="V93" s="32" t="n">
        <f aca="false">2*PI()*(M93+N93/1296000-INT(M93+N93/1296000))</f>
        <v>0.162600921499343</v>
      </c>
      <c r="W93" s="31" t="n">
        <f aca="false">V93/$E$6</f>
        <v>9.31634654685036</v>
      </c>
      <c r="X93" s="32" t="n">
        <f aca="false">(18520*SIN(S93)+U93)/206264.8062</f>
        <v>-0.051096486784076</v>
      </c>
      <c r="Y93" s="32" t="n">
        <f aca="false">COS(X93)*COS(V93)</f>
        <v>0.985521644395724</v>
      </c>
      <c r="Z93" s="32" t="n">
        <f aca="false">COS(X93)*SIN(V93)</f>
        <v>0.161674082202305</v>
      </c>
      <c r="AA93" s="32" t="n">
        <f aca="false">SIN(X93)</f>
        <v>-0.0510742554677974</v>
      </c>
      <c r="AB93" s="32" t="n">
        <f aca="false">COS($E$6*(23.4393-46.815*K93/3600))*Z93-SIN($E$6*(23.4393-46.815*K93/3600))*AA93</f>
        <v>0.168650147240735</v>
      </c>
      <c r="AC93" s="32" t="n">
        <f aca="false">SIN($E$6*(23.4393-46.815*K93/3600))*Z93+COS($E$6*(23.4393-46.815*K93/3600))*AA93</f>
        <v>0.0174417964449118</v>
      </c>
      <c r="AD93" s="32" t="n">
        <f aca="false">SQRT(1-AC93*AC93)</f>
        <v>0.999847880298185</v>
      </c>
      <c r="AE93" s="31" t="n">
        <f aca="false">ATAN(AC93/AD93)/$E$6</f>
        <v>0.999391999671328</v>
      </c>
      <c r="AF93" s="32" t="n">
        <f aca="false">IF(24*ATAN(AB93/(Y93+AD93))/PI()&gt;0,24*ATAN(AB93/(Y93+AD93))/PI(),24*ATAN(AB93/(Y93+AD93))/PI()+24)</f>
        <v>0.647389103640564</v>
      </c>
      <c r="AG93" s="31" t="n">
        <f aca="false">IF(L93-15*AF93&gt;0,L93-15*AF93,360+L93-15*AF93)</f>
        <v>39.4940598986939</v>
      </c>
      <c r="AH93" s="29" t="n">
        <f aca="false">0.950724+0.051818*COS(O93)+0.009531*COS(2*Q93-O93)+0.007843*COS(2*Q93)+0.002824*COS(2*O93)+0.000857*COS(2*Q93+O93)+0.000533*COS(2*Q93-P93)*(1-0.002495*(J93-2415020)/36525)+0.000401*COS(2*Q93-P93-O93)*(1-0.002495*(J93-2415020)/36525)+0.00032*COS(O93-P93)*(1-0.002495*(J93-2415020)/36525)-0.000271*COS(Q93)</f>
        <v>0.954209367715719</v>
      </c>
      <c r="AI93" s="32" t="n">
        <f aca="false">ASIN(COS($E$6*$E$2)*COS($E$6*AE93)*COS($E$6*AG93)+SIN($E$6*$E$2)*SIN($E$6*AE93))/$E$6</f>
        <v>30.6184688169848</v>
      </c>
      <c r="AJ93" s="29" t="n">
        <f aca="false">ASIN((0.9983271+0.0016764*COS($E$6*2*$E$2))*COS($E$6*AI93)*SIN($E$6*AH93))/$E$6</f>
        <v>0.819548768518172</v>
      </c>
      <c r="AK93" s="29" t="n">
        <f aca="false">AI93-AJ93</f>
        <v>29.7989200484666</v>
      </c>
      <c r="AL93" s="31" t="n">
        <f aca="false"> MOD(280.4664567 + 360007.6982779*K93/10 + 0.03032028*K93^2/100 + K93^3/49931000,360)</f>
        <v>251.710676143008</v>
      </c>
      <c r="AM93" s="29" t="n">
        <f aca="false"> AL93 + (1.9146 - 0.004817*K93 - 0.000014*K93^2)*SIN(P93)+ (0.019993 - 0.000101*K93)*SIN(2*P93)+ 0.00029*SIN(3*P93)</f>
        <v>250.689282242397</v>
      </c>
      <c r="AN93" s="29" t="n">
        <f aca="false">ACOS(COS(V93-$E$6*AM93)*COS(X93))/$E$6</f>
        <v>118.586255510756</v>
      </c>
      <c r="AO93" s="24" t="n">
        <f aca="false">180 - AN93 -0.1468*(1-0.0549*SIN(P93))*SIN($E$6*AN93)/(1-0.0167*SIN($E$6*AM93))</f>
        <v>61.283186874973</v>
      </c>
      <c r="AP93" s="48" t="n">
        <f aca="false">SIN($E$6*AG93)</f>
        <v>0.635998219201135</v>
      </c>
      <c r="AQ93" s="48" t="n">
        <f aca="false">COS($E$6*AG93)*SIN($E$6*$E$2) - TAN($E$6*AE93)*COS($E$6*$E$2)</f>
        <v>0.579936161512019</v>
      </c>
      <c r="AR93" s="48" t="n">
        <f aca="false">IF(OR(AND(AP93*AQ93&gt;0), AND(AP93&lt;0,AQ93&gt;0)), MOD(ATAN2(AQ93,AP93)/$E$6+360,360),  ATAN2(AQ93,AP93)/$E$6)</f>
        <v>47.6398185316755</v>
      </c>
      <c r="AS93" s="20" t="n">
        <f aca="false"> 385000.56 + (-20905355*COS(O93) - 3699111*COS(2*Q93-O93) - 2955968*COS(2*Q93) - 569925*COS(2*O93) + (1-0.002516*K93)*48888*COS(P93) - 3149*COS(2*R93)  +246158*COS(2*Q93-2*O93) -(1-0.002516*K93)*152138*COS(2*Q93-P93-O93) -170733*COS(2*Q93+O93) -(1-0.002516*K93)*204586*COS(2*Q93-P93) -(1-0.002516*K93)*129620*COS(P93-O93)  + 108743*COS(Q93) +(1-0.002516*K93)*104755*COS(P93+O93) +10321*COS(2*Q93-2*R93) +79661*COS(O93-2*R93) -34782*COS(4*Q93-O93) -23210*COS(3*O93)  -21636*COS(4*Q93-2*O93) +(1-0.002516*K93)*24208*COS(2*Q93+P93-O93) +(1-0.002516*K93)*30824*COS(2*Q93+P93) -8379*COS(Q93-O93) -(1-0.002516*K93)*16675*COS(Q93+P93)  -(1-0.002516*K93)*12831*COS(2*Q93-P93+O93) -10445*COS(2*Q93+2*O93) -11650*COS(4*Q93) +14403*COS(2*Q93-3*O93) -(1-0.002516*K93)*7003*COS(P93-2*O93)  + (1-0.002516*K93)*10056*COS(2*Q93-P93-2*O93) +6322*COS(Q93+O93) -(1-0.002516*K93)*(1-0.002516*K93)*9884*COS(2*Q93-2*P93) +(1-0.002516*K93)*5751*COS(P93+2*O93) -(1-0.002516*K93)*(1-0.002516*K93)*4950*COS(2*Q93-2*P93-O93)  +4130*COS(2*Q93+O93-2*R93) -(1-0.002516*K93)*3958*COS(4*Q93-P93-O93) +3258*COS(3*Q93-O93) +(1-0.002516*K93)*2616*COS(2*Q93+P93+O93) -(1-0.002516*K93)*1897*COS(4*Q93-P93-2*O93)  -(1-0.002516*K93)*(1-0.002516*K93)*2117*COS(2*P93-O93) +(1-0.002516*K93)*(1-0.002516*K93)*2354*COS(2*Q93+2*P93-O93) -1423*COS(4*Q93+O93) -1117*COS(4*O93) -(1-0.002516*K93)*1571*COS(4*Q93-P93)  -1739*COS(Q93-2*O93) -4421*COS(2*O93-2*R93) +(1-0.002516*K93)*(1-0.002516*K93)*1165*COS(2*P93+O93) +8752*COS(2*Q93-O93-2*R93))/1000</f>
        <v>382941.355178974</v>
      </c>
      <c r="AT93" s="24" t="n">
        <f aca="false">60*ATAN(3476/AS93)/$E$6</f>
        <v>31.2039413824603</v>
      </c>
      <c r="AU93" s="28" t="n">
        <f aca="false">ATAN(0.99664719*TAN($E$6*input!$D$2))</f>
        <v>0.871010436227447</v>
      </c>
      <c r="AV93" s="28" t="n">
        <f aca="false">COS(AU93)</f>
        <v>0.644053912545846</v>
      </c>
      <c r="AW93" s="28" t="n">
        <f aca="false">0.99664719*SIN(AU93)</f>
        <v>0.762415269897027</v>
      </c>
      <c r="AX93" s="28" t="n">
        <f aca="false">6378.14/AS93</f>
        <v>0.0166556573578194</v>
      </c>
      <c r="AY93" s="31" t="n">
        <f aca="false">L93-15*AF93</f>
        <v>39.4940598986939</v>
      </c>
      <c r="AZ93" s="29" t="n">
        <f aca="false">COS($E$6*AE93)*SIN($E$6*AY93)</f>
        <v>0.635901471341676</v>
      </c>
      <c r="BA93" s="29" t="n">
        <f aca="false">COS($E$6*AE93)*COS($E$6*AY93)-AV93*AX93</f>
        <v>0.760845993601562</v>
      </c>
      <c r="BB93" s="29" t="n">
        <f aca="false">SIN($E$6*AE93)-AW93*AX93</f>
        <v>0.00474326894513752</v>
      </c>
      <c r="BC93" s="45" t="n">
        <f aca="false">SQRT(AZ93^2+BA93^2+BB93^2)</f>
        <v>0.991604662067672</v>
      </c>
      <c r="BD93" s="20" t="n">
        <f aca="false">AS93*BC93</f>
        <v>379726.433093983</v>
      </c>
      <c r="BE93" s="30" t="str">
        <f aca="false">IF(OR(AND(BD93&gt;BD92,BD93&gt;BD94),AND(BD93&lt;BD92,BD93&lt;BD94)),BD93,"")</f>
        <v/>
      </c>
    </row>
    <row r="94" customFormat="false" ht="15" hidden="false" customHeight="false" outlineLevel="0" collapsed="false">
      <c r="A94" s="31" t="n">
        <v>46</v>
      </c>
      <c r="F94" s="38" t="n">
        <f aca="false">AK94</f>
        <v>26.2324595213157</v>
      </c>
      <c r="G94" s="39" t="n">
        <f aca="false">F94+1.02/(TAN($E$6*(F94+10.3/(F94+5.11)))*60)</f>
        <v>26.2664654027945</v>
      </c>
      <c r="H94" s="38" t="n">
        <f aca="false">100*(1+COS($E$6*AO94))/2</f>
        <v>74.2180454591256</v>
      </c>
      <c r="I94" s="38" t="n">
        <f aca="false">IF(AG94&gt;180, AR94-180,AR94+180)</f>
        <v>234.901556696805</v>
      </c>
      <c r="J94" s="31" t="n">
        <f aca="false">J93+0.5/24</f>
        <v>2459916.41666667</v>
      </c>
      <c r="K94" s="47" t="n">
        <f aca="false">(J94-2451545)/36525</f>
        <v>0.229196897102628</v>
      </c>
      <c r="L94" s="31" t="n">
        <f aca="false">MOD(280.46061837+360.98564736629*(J94-2451545)+0.000387933*K94^2-K94^3/38710000+$E$4,360)</f>
        <v>56.7254308299162</v>
      </c>
      <c r="M94" s="28" t="n">
        <f aca="false">0.606433+1336.855225*K94 - INT(0.606433+1336.855225*K94)</f>
        <v>0.00950244543594181</v>
      </c>
      <c r="N94" s="31" t="n">
        <f aca="false">22640*SIN(O94)-4586*SIN(O94-2*Q94)+2370*SIN(2*Q94)+769*SIN(2*O94)-668*SIN(P94)-412*SIN(2*R94)-212*SIN(2*O94-2*Q94)-206*SIN(O94+P94-2*Q94)+192*SIN(O94+2*Q94)-165*SIN(P94-2*Q94)-125*SIN(Q94)-110*SIN(O94+P94)+148*SIN(O94-P94)-55*SIN(2*R94-2*Q94)</f>
        <v>22213.9836812327</v>
      </c>
      <c r="O94" s="29" t="n">
        <f aca="false">2*PI()*(0.374897+1325.55241*K94 - INT(0.374897+1325.55241*K94))</f>
        <v>1.17744579760041</v>
      </c>
      <c r="P94" s="32" t="n">
        <f aca="false">2*PI()*(0.993133+99.997361*K94 - INT(0.993133+99.997361*K94))</f>
        <v>5.7316338527083</v>
      </c>
      <c r="Q94" s="32" t="n">
        <f aca="false">2*PI()*(0.827361+1236.853086*K94 - INT(0.827361+1236.853086*K94))</f>
        <v>1.94936127639529</v>
      </c>
      <c r="R94" s="32" t="n">
        <f aca="false">2*PI()*(0.259086+1342.227825*K94 - INT(0.259086+1342.227825*K94))</f>
        <v>5.6142691986237</v>
      </c>
      <c r="S94" s="32" t="n">
        <f aca="false">R94+(N94+412*SIN(2*R94)+541*SIN(P94))/206264.8062</f>
        <v>5.71864776270651</v>
      </c>
      <c r="T94" s="32" t="n">
        <f aca="false">R94-2*Q94</f>
        <v>1.71554664583313</v>
      </c>
      <c r="U94" s="24" t="n">
        <f aca="false">-526*SIN(T94)+44*SIN(O94+T94)-31*SIN(-O94+T94)-23*SIN(P94+T94)+11*SIN(-P94+T94)-25*SIN(-2*O94+R94)+21*SIN(-O94+R94)</f>
        <v>-555.514135273942</v>
      </c>
      <c r="V94" s="32" t="n">
        <f aca="false">2*PI()*(M94+N94/1296000-INT(M94+N94/1296000))</f>
        <v>0.167402057551441</v>
      </c>
      <c r="W94" s="31" t="n">
        <f aca="false">V94/$E$6</f>
        <v>9.5914313795037</v>
      </c>
      <c r="X94" s="32" t="n">
        <f aca="false">(18520*SIN(S94)+U94)/206264.8062</f>
        <v>-0.0507317780114221</v>
      </c>
      <c r="Y94" s="32" t="n">
        <f aca="false">COS(X94)*COS(V94)</f>
        <v>0.984752370897798</v>
      </c>
      <c r="Z94" s="32" t="n">
        <f aca="false">COS(X94)*SIN(V94)</f>
        <v>0.166406916783692</v>
      </c>
      <c r="AA94" s="32" t="n">
        <f aca="false">SIN(X94)</f>
        <v>-0.0507100193030096</v>
      </c>
      <c r="AB94" s="32" t="n">
        <f aca="false">COS($E$6*(23.4393-46.815*K94/3600))*Z94-SIN($E$6*(23.4393-46.815*K94/3600))*AA94</f>
        <v>0.172847668216028</v>
      </c>
      <c r="AC94" s="32" t="n">
        <f aca="false">SIN($E$6*(23.4393-46.815*K94/3600))*Z94+COS($E$6*(23.4393-46.815*K94/3600))*AA94</f>
        <v>0.0196583723499187</v>
      </c>
      <c r="AD94" s="32" t="n">
        <f aca="false">SQRT(1-AC94*AC94)</f>
        <v>0.999806755526563</v>
      </c>
      <c r="AE94" s="31" t="n">
        <f aca="false">ATAN(AC94/AD94)/$E$6</f>
        <v>1.12641432646295</v>
      </c>
      <c r="AF94" s="32" t="n">
        <f aca="false">IF(24*ATAN(AB94/(Y94+AD94))/PI()&gt;0,24*ATAN(AB94/(Y94+AD94))/PI(),24*ATAN(AB94/(Y94+AD94))/PI()+24)</f>
        <v>0.663691558473343</v>
      </c>
      <c r="AG94" s="31" t="n">
        <f aca="false">IF(L94-15*AF94&gt;0,L94-15*AF94,360+L94-15*AF94)</f>
        <v>46.770057452816</v>
      </c>
      <c r="AH94" s="29" t="n">
        <f aca="false">0.950724+0.051818*COS(O94)+0.009531*COS(2*Q94-O94)+0.007843*COS(2*Q94)+0.002824*COS(2*O94)+0.000857*COS(2*Q94+O94)+0.000533*COS(2*Q94-P94)*(1-0.002495*(J94-2415020)/36525)+0.000401*COS(2*Q94-P94-O94)*(1-0.002495*(J94-2415020)/36525)+0.00032*COS(O94-P94)*(1-0.002495*(J94-2415020)/36525)-0.000271*COS(Q94)</f>
        <v>0.954009816706256</v>
      </c>
      <c r="AI94" s="32" t="n">
        <f aca="false">ASIN(COS($E$6*$E$2)*COS($E$6*AE94)*COS($E$6*AG94)+SIN($E$6*$E$2)*SIN($E$6*AE94))/$E$6</f>
        <v>27.0802048648854</v>
      </c>
      <c r="AJ94" s="29" t="n">
        <f aca="false">ASIN((0.9983271+0.0016764*COS($E$6*2*$E$2))*COS($E$6*AI94)*SIN($E$6*AH94))/$E$6</f>
        <v>0.84774534356964</v>
      </c>
      <c r="AK94" s="29" t="n">
        <f aca="false">AI94-AJ94</f>
        <v>26.2324595213157</v>
      </c>
      <c r="AL94" s="31" t="n">
        <f aca="false"> MOD(280.4664567 + 360007.6982779*K94/10 + 0.03032028*K94^2/100 + K94^3/49931000,360)</f>
        <v>251.731210463242</v>
      </c>
      <c r="AM94" s="29" t="n">
        <f aca="false"> AL94 + (1.9146 - 0.004817*K94 - 0.000014*K94^2)*SIN(P94)+ (0.019993 - 0.000101*K94)*SIN(2*P94)+ 0.00029*SIN(3*P94)</f>
        <v>250.710406981635</v>
      </c>
      <c r="AN94" s="29" t="n">
        <f aca="false">ACOS(COS(V94-$E$6*AM94)*COS(X94))/$E$6</f>
        <v>118.840370976484</v>
      </c>
      <c r="AO94" s="24" t="n">
        <f aca="false">180 - AN94 -0.1468*(1-0.0549*SIN(P94))*SIN($E$6*AN94)/(1-0.0167*SIN($E$6*AM94))</f>
        <v>61.0293905986025</v>
      </c>
      <c r="AP94" s="48" t="n">
        <f aca="false">SIN($E$6*AG94)</f>
        <v>0.728610786291432</v>
      </c>
      <c r="AQ94" s="48" t="n">
        <f aca="false">COS($E$6*AG94)*SIN($E$6*$E$2) - TAN($E$6*AE94)*COS($E$6*$E$2)</f>
        <v>0.512046663730407</v>
      </c>
      <c r="AR94" s="48" t="n">
        <f aca="false">IF(OR(AND(AP94*AQ94&gt;0), AND(AP94&lt;0,AQ94&gt;0)), MOD(ATAN2(AQ94,AP94)/$E$6+360,360),  ATAN2(AQ94,AP94)/$E$6)</f>
        <v>54.901556696805</v>
      </c>
      <c r="AS94" s="20" t="n">
        <f aca="false"> 385000.56 + (-20905355*COS(O94) - 3699111*COS(2*Q94-O94) - 2955968*COS(2*Q94) - 569925*COS(2*O94) + (1-0.002516*K94)*48888*COS(P94) - 3149*COS(2*R94)  +246158*COS(2*Q94-2*O94) -(1-0.002516*K94)*152138*COS(2*Q94-P94-O94) -170733*COS(2*Q94+O94) -(1-0.002516*K94)*204586*COS(2*Q94-P94) -(1-0.002516*K94)*129620*COS(P94-O94)  + 108743*COS(Q94) +(1-0.002516*K94)*104755*COS(P94+O94) +10321*COS(2*Q94-2*R94) +79661*COS(O94-2*R94) -34782*COS(4*Q94-O94) -23210*COS(3*O94)  -21636*COS(4*Q94-2*O94) +(1-0.002516*K94)*24208*COS(2*Q94+P94-O94) +(1-0.002516*K94)*30824*COS(2*Q94+P94) -8379*COS(Q94-O94) -(1-0.002516*K94)*16675*COS(Q94+P94)  -(1-0.002516*K94)*12831*COS(2*Q94-P94+O94) -10445*COS(2*Q94+2*O94) -11650*COS(4*Q94) +14403*COS(2*Q94-3*O94) -(1-0.002516*K94)*7003*COS(P94-2*O94)  + (1-0.002516*K94)*10056*COS(2*Q94-P94-2*O94) +6322*COS(Q94+O94) -(1-0.002516*K94)*(1-0.002516*K94)*9884*COS(2*Q94-2*P94) +(1-0.002516*K94)*5751*COS(P94+2*O94) -(1-0.002516*K94)*(1-0.002516*K94)*4950*COS(2*Q94-2*P94-O94)  +4130*COS(2*Q94+O94-2*R94) -(1-0.002516*K94)*3958*COS(4*Q94-P94-O94) +3258*COS(3*Q94-O94) +(1-0.002516*K94)*2616*COS(2*Q94+P94+O94) -(1-0.002516*K94)*1897*COS(4*Q94-P94-2*O94)  -(1-0.002516*K94)*(1-0.002516*K94)*2117*COS(2*P94-O94) +(1-0.002516*K94)*(1-0.002516*K94)*2354*COS(2*Q94+2*P94-O94) -1423*COS(4*Q94+O94) -1117*COS(4*O94) -(1-0.002516*K94)*1571*COS(4*Q94-P94)  -1739*COS(Q94-2*O94) -4421*COS(2*O94-2*R94) +(1-0.002516*K94)*(1-0.002516*K94)*1165*COS(2*P94+O94) +8752*COS(2*Q94-O94-2*R94))/1000</f>
        <v>383021.405319431</v>
      </c>
      <c r="AT94" s="24" t="n">
        <f aca="false">60*ATAN(3476/AS94)/$E$6</f>
        <v>31.1974202254129</v>
      </c>
      <c r="AU94" s="28" t="n">
        <f aca="false">ATAN(0.99664719*TAN($E$6*input!$D$2))</f>
        <v>0.871010436227447</v>
      </c>
      <c r="AV94" s="28" t="n">
        <f aca="false">COS(AU94)</f>
        <v>0.644053912545846</v>
      </c>
      <c r="AW94" s="28" t="n">
        <f aca="false">0.99664719*SIN(AU94)</f>
        <v>0.762415269897027</v>
      </c>
      <c r="AX94" s="28" t="n">
        <f aca="false">6378.14/AS94</f>
        <v>0.0166521763834081</v>
      </c>
      <c r="AY94" s="31" t="n">
        <f aca="false">L94-15*AF94</f>
        <v>46.770057452816</v>
      </c>
      <c r="AZ94" s="29" t="n">
        <f aca="false">COS($E$6*AE94)*SIN($E$6*AY94)</f>
        <v>0.728469986283694</v>
      </c>
      <c r="BA94" s="29" t="n">
        <f aca="false">COS($E$6*AE94)*COS($E$6*AY94)-AV94*AX94</f>
        <v>0.674070710651597</v>
      </c>
      <c r="BB94" s="29" t="n">
        <f aca="false">SIN($E$6*AE94)-AW94*AX94</f>
        <v>0.00696249879818977</v>
      </c>
      <c r="BC94" s="45" t="n">
        <f aca="false">SQRT(AZ94^2+BA94^2+BB94^2)</f>
        <v>0.992516156172799</v>
      </c>
      <c r="BD94" s="20" t="n">
        <f aca="false">AS94*BC94</f>
        <v>380154.932939546</v>
      </c>
      <c r="BE94" s="30" t="str">
        <f aca="false">IF(OR(AND(BD94&gt;BD93,BD94&gt;BD95),AND(BD94&lt;BD93,BD94&lt;BD95)),BD94,"")</f>
        <v/>
      </c>
    </row>
    <row r="95" customFormat="false" ht="15" hidden="false" customHeight="false" outlineLevel="0" collapsed="false">
      <c r="A95" s="31" t="n">
        <v>46.5</v>
      </c>
      <c r="F95" s="38" t="n">
        <f aca="false">AK95</f>
        <v>22.3329705365914</v>
      </c>
      <c r="G95" s="39" t="n">
        <f aca="false">F95+1.02/(TAN($E$6*(F95+10.3/(F95+5.11)))*60)</f>
        <v>22.3735938253224</v>
      </c>
      <c r="H95" s="38" t="n">
        <f aca="false">100*(1+COS($E$6*AO95))/2</f>
        <v>74.411488274646</v>
      </c>
      <c r="I95" s="38" t="n">
        <f aca="false">IF(AG95&gt;180, AR95-180,AR95+180)</f>
        <v>241.708690003762</v>
      </c>
      <c r="J95" s="31" t="n">
        <f aca="false">J94+0.5/24</f>
        <v>2459916.43750001</v>
      </c>
      <c r="K95" s="47" t="n">
        <f aca="false">(J95-2451545)/36525</f>
        <v>0.229197467488213</v>
      </c>
      <c r="L95" s="31" t="n">
        <f aca="false">MOD(280.46061837+360.98564736629*(J95-2451545)+0.000387933*K95^2-K95^3/38710000+$E$4,360)</f>
        <v>64.2459652060643</v>
      </c>
      <c r="M95" s="28" t="n">
        <f aca="false">0.606433+1336.855225*K95 - INT(0.606433+1336.855225*K95)</f>
        <v>0.0102649683853429</v>
      </c>
      <c r="N95" s="31" t="n">
        <f aca="false">22640*SIN(O95)-4586*SIN(O95-2*Q95)+2370*SIN(2*Q95)+769*SIN(2*O95)-668*SIN(P95)-412*SIN(2*R95)-212*SIN(2*O95-2*Q95)-206*SIN(O95+P95-2*Q95)+192*SIN(O95+2*Q95)-165*SIN(P95-2*Q95)-125*SIN(Q95)-110*SIN(O95+P95)+148*SIN(O95-P95)-55*SIN(2*R95-2*Q95)</f>
        <v>22215.6436397141</v>
      </c>
      <c r="O95" s="29" t="n">
        <f aca="false">2*PI()*(0.374897+1325.55241*K95 - INT(0.374897+1325.55241*K95))</f>
        <v>1.18219636313089</v>
      </c>
      <c r="P95" s="32" t="n">
        <f aca="false">2*PI()*(0.993133+99.997361*K95 - INT(0.993133+99.997361*K95))</f>
        <v>5.7319922270832</v>
      </c>
      <c r="Q95" s="32" t="n">
        <f aca="false">2*PI()*(0.827361+1236.853086*K95 - INT(0.827361+1236.853086*K95))</f>
        <v>1.95379395788891</v>
      </c>
      <c r="R95" s="32" t="n">
        <f aca="false">2*PI()*(0.259086+1342.227825*K95 - INT(0.259086+1342.227825*K95))</f>
        <v>5.61907952614565</v>
      </c>
      <c r="S95" s="32" t="n">
        <f aca="false">R95+(N95+412*SIN(2*R95)+541*SIN(P95))/206264.8062</f>
        <v>5.72347146486518</v>
      </c>
      <c r="T95" s="32" t="n">
        <f aca="false">R95-2*Q95</f>
        <v>1.71149161036784</v>
      </c>
      <c r="U95" s="24" t="n">
        <f aca="false">-526*SIN(T95)+44*SIN(O95+T95)-31*SIN(-O95+T95)-23*SIN(P95+T95)+11*SIN(-P95+T95)-25*SIN(-2*O95+R95)+21*SIN(-O95+R95)</f>
        <v>-555.664167144287</v>
      </c>
      <c r="V95" s="32" t="n">
        <f aca="false">2*PI()*(M95+N95/1296000-INT(M95+N95/1296000))</f>
        <v>0.172201178249323</v>
      </c>
      <c r="W95" s="31" t="n">
        <f aca="false">V95/$E$6</f>
        <v>9.86640074086622</v>
      </c>
      <c r="X95" s="32" t="n">
        <f aca="false">(18520*SIN(S95)+U95)/206264.8062</f>
        <v>-0.0503660425350713</v>
      </c>
      <c r="Y95" s="32" t="n">
        <f aca="false">COS(X95)*COS(V95)</f>
        <v>0.983960633258041</v>
      </c>
      <c r="Z95" s="32" t="n">
        <f aca="false">COS(X95)*SIN(V95)</f>
        <v>0.17113409434138</v>
      </c>
      <c r="AA95" s="32" t="n">
        <f aca="false">SIN(X95)</f>
        <v>-0.0503447509914496</v>
      </c>
      <c r="AB95" s="32" t="n">
        <f aca="false">COS($E$6*(23.4393-46.815*K95/3600))*Z95-SIN($E$6*(23.4393-46.815*K95/3600))*AA95</f>
        <v>0.177039588342133</v>
      </c>
      <c r="AC95" s="32" t="n">
        <f aca="false">SIN($E$6*(23.4393-46.815*K95/3600))*Z95+COS($E$6*(23.4393-46.815*K95/3600))*AA95</f>
        <v>0.0218736452856746</v>
      </c>
      <c r="AD95" s="32" t="n">
        <f aca="false">SQRT(1-AC95*AC95)</f>
        <v>0.99976074319905</v>
      </c>
      <c r="AE95" s="31" t="n">
        <f aca="false">ATAN(AC95/AD95)/$E$6</f>
        <v>1.25336751793079</v>
      </c>
      <c r="AF95" s="32" t="n">
        <f aca="false">IF(24*ATAN(AB95/(Y95+AD95))/PI()&gt;0,24*ATAN(AB95/(Y95+AD95))/PI(),24*ATAN(AB95/(Y95+AD95))/PI()+24)</f>
        <v>0.67998919547149</v>
      </c>
      <c r="AG95" s="31" t="n">
        <f aca="false">IF(L95-15*AF95&gt;0,L95-15*AF95,360+L95-15*AF95)</f>
        <v>54.0461272739919</v>
      </c>
      <c r="AH95" s="29" t="n">
        <f aca="false">0.950724+0.051818*COS(O95)+0.009531*COS(2*Q95-O95)+0.007843*COS(2*Q95)+0.002824*COS(2*O95)+0.000857*COS(2*Q95+O95)+0.000533*COS(2*Q95-P95)*(1-0.002495*(J95-2415020)/36525)+0.000401*COS(2*Q95-P95-O95)*(1-0.002495*(J95-2415020)/36525)+0.00032*COS(O95-P95)*(1-0.002495*(J95-2415020)/36525)-0.000271*COS(Q95)</f>
        <v>0.953810550871548</v>
      </c>
      <c r="AI95" s="32" t="n">
        <f aca="false">ASIN(COS($E$6*$E$2)*COS($E$6*AE95)*COS($E$6*AG95)+SIN($E$6*$E$2)*SIN($E$6*AE95))/$E$6</f>
        <v>23.2078717762458</v>
      </c>
      <c r="AJ95" s="29" t="n">
        <f aca="false">ASIN((0.9983271+0.0016764*COS($E$6*2*$E$2))*COS($E$6*AI95)*SIN($E$6*AH95))/$E$6</f>
        <v>0.874901239654386</v>
      </c>
      <c r="AK95" s="29" t="n">
        <f aca="false">AI95-AJ95</f>
        <v>22.3329705365914</v>
      </c>
      <c r="AL95" s="31" t="n">
        <f aca="false"> MOD(280.4664567 + 360007.6982779*K95/10 + 0.03032028*K95^2/100 + K95^3/49931000,360)</f>
        <v>251.751744783476</v>
      </c>
      <c r="AM95" s="29" t="n">
        <f aca="false"> AL95 + (1.9146 - 0.004817*K95 - 0.000014*K95^2)*SIN(P95)+ (0.019993 - 0.000101*K95)*SIN(2*P95)+ 0.00029*SIN(3*P95)</f>
        <v>250.73153185914</v>
      </c>
      <c r="AN95" s="29" t="n">
        <f aca="false">ACOS(COS(V95-$E$6*AM95)*COS(X95))/$E$6</f>
        <v>119.094378641458</v>
      </c>
      <c r="AO95" s="24" t="n">
        <f aca="false">180 - AN95 -0.1468*(1-0.0549*SIN(P95))*SIN($E$6*AN95)/(1-0.0167*SIN($E$6*AM95))</f>
        <v>60.7757045373757</v>
      </c>
      <c r="AP95" s="48" t="n">
        <f aca="false">SIN($E$6*AG95)</f>
        <v>0.809489942067271</v>
      </c>
      <c r="AQ95" s="48" t="n">
        <f aca="false">COS($E$6*AG95)*SIN($E$6*$E$2) - TAN($E$6*AE95)*COS($E$6*$E$2)</f>
        <v>0.435707069236309</v>
      </c>
      <c r="AR95" s="48" t="n">
        <f aca="false">IF(OR(AND(AP95*AQ95&gt;0), AND(AP95&lt;0,AQ95&gt;0)), MOD(ATAN2(AQ95,AP95)/$E$6+360,360),  ATAN2(AQ95,AP95)/$E$6)</f>
        <v>61.7086900037623</v>
      </c>
      <c r="AS95" s="20" t="n">
        <f aca="false"> 385000.56 + (-20905355*COS(O95) - 3699111*COS(2*Q95-O95) - 2955968*COS(2*Q95) - 569925*COS(2*O95) + (1-0.002516*K95)*48888*COS(P95) - 3149*COS(2*R95)  +246158*COS(2*Q95-2*O95) -(1-0.002516*K95)*152138*COS(2*Q95-P95-O95) -170733*COS(2*Q95+O95) -(1-0.002516*K95)*204586*COS(2*Q95-P95) -(1-0.002516*K95)*129620*COS(P95-O95)  + 108743*COS(Q95) +(1-0.002516*K95)*104755*COS(P95+O95) +10321*COS(2*Q95-2*R95) +79661*COS(O95-2*R95) -34782*COS(4*Q95-O95) -23210*COS(3*O95)  -21636*COS(4*Q95-2*O95) +(1-0.002516*K95)*24208*COS(2*Q95+P95-O95) +(1-0.002516*K95)*30824*COS(2*Q95+P95) -8379*COS(Q95-O95) -(1-0.002516*K95)*16675*COS(Q95+P95)  -(1-0.002516*K95)*12831*COS(2*Q95-P95+O95) -10445*COS(2*Q95+2*O95) -11650*COS(4*Q95) +14403*COS(2*Q95-3*O95) -(1-0.002516*K95)*7003*COS(P95-2*O95)  + (1-0.002516*K95)*10056*COS(2*Q95-P95-2*O95) +6322*COS(Q95+O95) -(1-0.002516*K95)*(1-0.002516*K95)*9884*COS(2*Q95-2*P95) +(1-0.002516*K95)*5751*COS(P95+2*O95) -(1-0.002516*K95)*(1-0.002516*K95)*4950*COS(2*Q95-2*P95-O95)  +4130*COS(2*Q95+O95-2*R95) -(1-0.002516*K95)*3958*COS(4*Q95-P95-O95) +3258*COS(3*Q95-O95) +(1-0.002516*K95)*2616*COS(2*Q95+P95+O95) -(1-0.002516*K95)*1897*COS(4*Q95-P95-2*O95)  -(1-0.002516*K95)*(1-0.002516*K95)*2117*COS(2*P95-O95) +(1-0.002516*K95)*(1-0.002516*K95)*2354*COS(2*Q95+2*P95-O95) -1423*COS(4*Q95+O95) -1117*COS(4*O95) -(1-0.002516*K95)*1571*COS(4*Q95-P95)  -1739*COS(Q95-2*O95) -4421*COS(2*O95-2*R95) +(1-0.002516*K95)*(1-0.002516*K95)*1165*COS(2*P95+O95) +8752*COS(2*Q95-O95-2*R95))/1000</f>
        <v>383101.389237562</v>
      </c>
      <c r="AT95" s="24" t="n">
        <f aca="false">60*ATAN(3476/AS95)/$E$6</f>
        <v>31.190907184686</v>
      </c>
      <c r="AU95" s="28" t="n">
        <f aca="false">ATAN(0.99664719*TAN($E$6*input!$D$2))</f>
        <v>0.871010436227447</v>
      </c>
      <c r="AV95" s="28" t="n">
        <f aca="false">COS(AU95)</f>
        <v>0.644053912545846</v>
      </c>
      <c r="AW95" s="28" t="n">
        <f aca="false">0.99664719*SIN(AU95)</f>
        <v>0.762415269897027</v>
      </c>
      <c r="AX95" s="28" t="n">
        <f aca="false">6378.14/AS95</f>
        <v>0.0166486997415844</v>
      </c>
      <c r="AY95" s="31" t="n">
        <f aca="false">L95-15*AF95</f>
        <v>54.0461272739919</v>
      </c>
      <c r="AZ95" s="29" t="n">
        <f aca="false">COS($E$6*AE95)*SIN($E$6*AY95)</f>
        <v>0.809296266093331</v>
      </c>
      <c r="BA95" s="29" t="n">
        <f aca="false">COS($E$6*AE95)*COS($E$6*AY95)-AV95*AX95</f>
        <v>0.576270608347995</v>
      </c>
      <c r="BB95" s="29" t="n">
        <f aca="false">SIN($E$6*AE95)-AW95*AX95</f>
        <v>0.00918042237876004</v>
      </c>
      <c r="BC95" s="45" t="n">
        <f aca="false">SQRT(AZ95^2+BA95^2+BB95^2)</f>
        <v>0.993545439581617</v>
      </c>
      <c r="BD95" s="20" t="n">
        <f aca="false">AS95*BC95</f>
        <v>380628.638174361</v>
      </c>
      <c r="BE95" s="30" t="str">
        <f aca="false">IF(OR(AND(BD95&gt;BD94,BD95&gt;BD96),AND(BD95&lt;BD94,BD95&lt;BD96)),BD95,"")</f>
        <v/>
      </c>
    </row>
    <row r="96" customFormat="false" ht="15" hidden="false" customHeight="false" outlineLevel="0" collapsed="false">
      <c r="A96" s="31" t="n">
        <v>47</v>
      </c>
      <c r="F96" s="38" t="n">
        <f aca="false">AK96</f>
        <v>18.1767230253005</v>
      </c>
      <c r="G96" s="39" t="n">
        <f aca="false">F96+1.02/(TAN($E$6*(F96+10.3/(F96+5.11)))*60)</f>
        <v>18.227182042693</v>
      </c>
      <c r="H96" s="38" t="n">
        <f aca="false">100*(1+COS($E$6*AO96))/2</f>
        <v>74.6043689495182</v>
      </c>
      <c r="I96" s="38" t="n">
        <f aca="false">IF(AG96&gt;180, AR96-180,AR96+180)</f>
        <v>248.131591914437</v>
      </c>
      <c r="J96" s="31" t="n">
        <f aca="false">J95+0.5/24</f>
        <v>2459916.45833334</v>
      </c>
      <c r="K96" s="47" t="n">
        <f aca="false">(J96-2451545)/36525</f>
        <v>0.229198037873798</v>
      </c>
      <c r="L96" s="31" t="n">
        <f aca="false">MOD(280.46061837+360.98564736629*(J96-2451545)+0.000387933*K96^2-K96^3/38710000+$E$4,360)</f>
        <v>71.7664995822124</v>
      </c>
      <c r="M96" s="28" t="n">
        <f aca="false">0.606433+1336.855225*K96 - INT(0.606433+1336.855225*K96)</f>
        <v>0.0110274913348007</v>
      </c>
      <c r="N96" s="31" t="n">
        <f aca="false">22640*SIN(O96)-4586*SIN(O96-2*Q96)+2370*SIN(2*Q96)+769*SIN(2*O96)-668*SIN(P96)-412*SIN(2*R96)-212*SIN(2*O96-2*Q96)-206*SIN(O96+P96-2*Q96)+192*SIN(O96+2*Q96)-165*SIN(P96-2*Q96)-125*SIN(Q96)-110*SIN(O96+P96)+148*SIN(O96-P96)-55*SIN(2*R96-2*Q96)</f>
        <v>22216.888889208</v>
      </c>
      <c r="O96" s="29" t="n">
        <f aca="false">2*PI()*(0.374897+1325.55241*K96 - INT(0.374897+1325.55241*K96))</f>
        <v>1.18694692866173</v>
      </c>
      <c r="P96" s="32" t="n">
        <f aca="false">2*PI()*(0.993133+99.997361*K96 - INT(0.993133+99.997361*K96))</f>
        <v>5.73235060145809</v>
      </c>
      <c r="Q96" s="32" t="n">
        <f aca="false">2*PI()*(0.827361+1236.853086*K96 - INT(0.827361+1236.853086*K96))</f>
        <v>1.95822663938288</v>
      </c>
      <c r="R96" s="32" t="n">
        <f aca="false">2*PI()*(0.259086+1342.227825*K96 - INT(0.259086+1342.227825*K96))</f>
        <v>5.62388985366796</v>
      </c>
      <c r="S96" s="32" t="n">
        <f aca="false">R96+(N96+412*SIN(2*R96)+541*SIN(P96))/206264.8062</f>
        <v>5.72829333609656</v>
      </c>
      <c r="T96" s="32" t="n">
        <f aca="false">R96-2*Q96</f>
        <v>1.70743657490219</v>
      </c>
      <c r="U96" s="24" t="n">
        <f aca="false">-526*SIN(T96)+44*SIN(O96+T96)-31*SIN(-O96+T96)-23*SIN(P96+T96)+11*SIN(-P96+T96)-25*SIN(-2*O96+R96)+21*SIN(-O96+R96)</f>
        <v>-555.80436565873</v>
      </c>
      <c r="V96" s="32" t="n">
        <f aca="false">2*PI()*(M96+N96/1296000-INT(M96+N96/1296000))</f>
        <v>0.176998288381655</v>
      </c>
      <c r="W96" s="31" t="n">
        <f aca="false">V96/$E$6</f>
        <v>10.1412549053083</v>
      </c>
      <c r="X96" s="32" t="n">
        <f aca="false">(18520*SIN(S96)+U96)/206264.8062</f>
        <v>-0.0499992898762383</v>
      </c>
      <c r="Y96" s="32" t="n">
        <f aca="false">COS(X96)*COS(V96)</f>
        <v>0.983146475229961</v>
      </c>
      <c r="Z96" s="32" t="n">
        <f aca="false">COS(X96)*SIN(V96)</f>
        <v>0.175855513918375</v>
      </c>
      <c r="AA96" s="32" t="n">
        <f aca="false">SIN(X96)</f>
        <v>-0.0499784600343738</v>
      </c>
      <c r="AB96" s="32" t="n">
        <f aca="false">COS($E$6*(23.4393-46.815*K96/3600))*Z96-SIN($E$6*(23.4393-46.815*K96/3600))*AA96</f>
        <v>0.181225818769667</v>
      </c>
      <c r="AC96" s="32" t="n">
        <f aca="false">SIN($E$6*(23.4393-46.815*K96/3600))*Z96+COS($E$6*(23.4393-46.815*K96/3600))*AA96</f>
        <v>0.0240875663811719</v>
      </c>
      <c r="AD96" s="32" t="n">
        <f aca="false">SQRT(1-AC96*AC96)</f>
        <v>0.999709852480125</v>
      </c>
      <c r="AE96" s="31" t="n">
        <f aca="false">ATAN(AC96/AD96)/$E$6</f>
        <v>1.3802493869435</v>
      </c>
      <c r="AF96" s="32" t="n">
        <f aca="false">IF(24*ATAN(AB96/(Y96+AD96))/PI()&gt;0,24*ATAN(AB96/(Y96+AD96))/PI(),24*ATAN(AB96/(Y96+AD96))/PI()+24)</f>
        <v>0.696282186007653</v>
      </c>
      <c r="AG96" s="31" t="n">
        <f aca="false">IF(L96-15*AF96&gt;0,L96-15*AF96,360+L96-15*AF96)</f>
        <v>61.3222667920976</v>
      </c>
      <c r="AH96" s="29" t="n">
        <f aca="false">0.950724+0.051818*COS(O96)+0.009531*COS(2*Q96-O96)+0.007843*COS(2*Q96)+0.002824*COS(2*O96)+0.000857*COS(2*Q96+O96)+0.000533*COS(2*Q96-P96)*(1-0.002495*(J96-2415020)/36525)+0.000401*COS(2*Q96-P96-O96)*(1-0.002495*(J96-2415020)/36525)+0.00032*COS(O96-P96)*(1-0.002495*(J96-2415020)/36525)-0.000271*COS(Q96)</f>
        <v>0.953611571222469</v>
      </c>
      <c r="AI96" s="32" t="n">
        <f aca="false">ASIN(COS($E$6*$E$2)*COS($E$6*AE96)*COS($E$6*AG96)+SIN($E$6*$E$2)*SIN($E$6*AE96))/$E$6</f>
        <v>19.0761921961383</v>
      </c>
      <c r="AJ96" s="29" t="n">
        <f aca="false">ASIN((0.9983271+0.0016764*COS($E$6*2*$E$2))*COS($E$6*AI96)*SIN($E$6*AH96))/$E$6</f>
        <v>0.899469170837772</v>
      </c>
      <c r="AK96" s="29" t="n">
        <f aca="false">AI96-AJ96</f>
        <v>18.1767230253005</v>
      </c>
      <c r="AL96" s="31" t="n">
        <f aca="false"> MOD(280.4664567 + 360007.6982779*K96/10 + 0.03032028*K96^2/100 + K96^3/49931000,360)</f>
        <v>251.772279103712</v>
      </c>
      <c r="AM96" s="29" t="n">
        <f aca="false"> AL96 + (1.9146 - 0.004817*K96 - 0.000014*K96^2)*SIN(P96)+ (0.019993 - 0.000101*K96)*SIN(2*P96)+ 0.00029*SIN(3*P96)</f>
        <v>250.752656874836</v>
      </c>
      <c r="AN96" s="29" t="n">
        <f aca="false">ACOS(COS(V96-$E$6*AM96)*COS(X96))/$E$6</f>
        <v>119.348278699984</v>
      </c>
      <c r="AO96" s="24" t="n">
        <f aca="false">180 - AN96 -0.1468*(1-0.0549*SIN(P96))*SIN($E$6*AN96)/(1-0.0167*SIN($E$6*AM96))</f>
        <v>60.5221284875697</v>
      </c>
      <c r="AP96" s="48" t="n">
        <f aca="false">SIN($E$6*AG96)</f>
        <v>0.877332726160971</v>
      </c>
      <c r="AQ96" s="48" t="n">
        <f aca="false">COS($E$6*AG96)*SIN($E$6*$E$2) - TAN($E$6*AE96)*COS($E$6*$E$2)</f>
        <v>0.352123698449579</v>
      </c>
      <c r="AR96" s="48" t="n">
        <f aca="false">IF(OR(AND(AP96*AQ96&gt;0), AND(AP96&lt;0,AQ96&gt;0)), MOD(ATAN2(AQ96,AP96)/$E$6+360,360),  ATAN2(AQ96,AP96)/$E$6)</f>
        <v>68.1315919144365</v>
      </c>
      <c r="AS96" s="20" t="n">
        <f aca="false"> 385000.56 + (-20905355*COS(O96) - 3699111*COS(2*Q96-O96) - 2955968*COS(2*Q96) - 569925*COS(2*O96) + (1-0.002516*K96)*48888*COS(P96) - 3149*COS(2*R96)  +246158*COS(2*Q96-2*O96) -(1-0.002516*K96)*152138*COS(2*Q96-P96-O96) -170733*COS(2*Q96+O96) -(1-0.002516*K96)*204586*COS(2*Q96-P96) -(1-0.002516*K96)*129620*COS(P96-O96)  + 108743*COS(Q96) +(1-0.002516*K96)*104755*COS(P96+O96) +10321*COS(2*Q96-2*R96) +79661*COS(O96-2*R96) -34782*COS(4*Q96-O96) -23210*COS(3*O96)  -21636*COS(4*Q96-2*O96) +(1-0.002516*K96)*24208*COS(2*Q96+P96-O96) +(1-0.002516*K96)*30824*COS(2*Q96+P96) -8379*COS(Q96-O96) -(1-0.002516*K96)*16675*COS(Q96+P96)  -(1-0.002516*K96)*12831*COS(2*Q96-P96+O96) -10445*COS(2*Q96+2*O96) -11650*COS(4*Q96) +14403*COS(2*Q96-3*O96) -(1-0.002516*K96)*7003*COS(P96-2*O96)  + (1-0.002516*K96)*10056*COS(2*Q96-P96-2*O96) +6322*COS(Q96+O96) -(1-0.002516*K96)*(1-0.002516*K96)*9884*COS(2*Q96-2*P96) +(1-0.002516*K96)*5751*COS(P96+2*O96) -(1-0.002516*K96)*(1-0.002516*K96)*4950*COS(2*Q96-2*P96-O96)  +4130*COS(2*Q96+O96-2*R96) -(1-0.002516*K96)*3958*COS(4*Q96-P96-O96) +3258*COS(3*Q96-O96) +(1-0.002516*K96)*2616*COS(2*Q96+P96+O96) -(1-0.002516*K96)*1897*COS(4*Q96-P96-2*O96)  -(1-0.002516*K96)*(1-0.002516*K96)*2117*COS(2*P96-O96) +(1-0.002516*K96)*(1-0.002516*K96)*2354*COS(2*Q96+2*P96-O96) -1423*COS(4*Q96+O96) -1117*COS(4*O96) -(1-0.002516*K96)*1571*COS(4*Q96-P96)  -1739*COS(Q96-2*O96) -4421*COS(2*O96-2*R96) +(1-0.002516*K96)*(1-0.002516*K96)*1165*COS(2*P96+O96) +8752*COS(2*Q96-O96-2*R96))/1000</f>
        <v>383181.306308589</v>
      </c>
      <c r="AT96" s="24" t="n">
        <f aca="false">60*ATAN(3476/AS96)/$E$6</f>
        <v>31.1844023026644</v>
      </c>
      <c r="AU96" s="28" t="n">
        <f aca="false">ATAN(0.99664719*TAN($E$6*input!$D$2))</f>
        <v>0.871010436227447</v>
      </c>
      <c r="AV96" s="28" t="n">
        <f aca="false">COS(AU96)</f>
        <v>0.644053912545846</v>
      </c>
      <c r="AW96" s="28" t="n">
        <f aca="false">0.99664719*SIN(AU96)</f>
        <v>0.762415269897027</v>
      </c>
      <c r="AX96" s="28" t="n">
        <f aca="false">6378.14/AS96</f>
        <v>0.0166452274549726</v>
      </c>
      <c r="AY96" s="31" t="n">
        <f aca="false">L96-15*AF96</f>
        <v>61.3222667920976</v>
      </c>
      <c r="AZ96" s="29" t="n">
        <f aca="false">COS($E$6*AE96)*SIN($E$6*AY96)</f>
        <v>0.87707817024637</v>
      </c>
      <c r="BA96" s="29" t="n">
        <f aca="false">COS($E$6*AE96)*COS($E$6*AY96)-AV96*AX96</f>
        <v>0.469022916287447</v>
      </c>
      <c r="BB96" s="29" t="n">
        <f aca="false">SIN($E$6*AE96)-AW96*AX96</f>
        <v>0.0113969907985915</v>
      </c>
      <c r="BC96" s="45" t="n">
        <f aca="false">SQRT(AZ96^2+BA96^2+BB96^2)</f>
        <v>0.994675074647377</v>
      </c>
      <c r="BD96" s="20" t="n">
        <f aca="false">AS96*BC96</f>
        <v>381140.894455975</v>
      </c>
      <c r="BE96" s="30" t="str">
        <f aca="false">IF(OR(AND(BD96&gt;BD95,BD96&gt;BD97),AND(BD96&lt;BD95,BD96&lt;BD97)),BD96,"")</f>
        <v/>
      </c>
    </row>
    <row r="97" customFormat="false" ht="15" hidden="false" customHeight="false" outlineLevel="0" collapsed="false">
      <c r="A97" s="31" t="n">
        <v>47.5</v>
      </c>
      <c r="F97" s="38" t="n">
        <f aca="false">AK97</f>
        <v>13.8309010210208</v>
      </c>
      <c r="G97" s="39" t="n">
        <f aca="false">F97+1.02/(TAN($E$6*(F97+10.3/(F97+5.11)))*60)</f>
        <v>13.8972332448672</v>
      </c>
      <c r="H97" s="38" t="n">
        <f aca="false">100*(1+COS($E$6*AO97))/2</f>
        <v>74.7966844843783</v>
      </c>
      <c r="I97" s="38" t="n">
        <f aca="false">IF(AG97&gt;180, AR97-180,AR97+180)</f>
        <v>254.247864580311</v>
      </c>
      <c r="J97" s="31" t="n">
        <f aca="false">J96+0.5/24</f>
        <v>2459916.47916667</v>
      </c>
      <c r="K97" s="47" t="n">
        <f aca="false">(J97-2451545)/36525</f>
        <v>0.229198608259383</v>
      </c>
      <c r="L97" s="31" t="n">
        <f aca="false">MOD(280.46061837+360.98564736629*(J97-2451545)+0.000387933*K97^2-K97^3/38710000+$E$4,360)</f>
        <v>79.2870339583606</v>
      </c>
      <c r="M97" s="28" t="n">
        <f aca="false">0.606433+1336.855225*K97 - INT(0.606433+1336.855225*K97)</f>
        <v>0.0117900142842586</v>
      </c>
      <c r="N97" s="31" t="n">
        <f aca="false">22640*SIN(O97)-4586*SIN(O97-2*Q97)+2370*SIN(2*Q97)+769*SIN(2*O97)-668*SIN(P97)-412*SIN(2*R97)-212*SIN(2*O97-2*Q97)-206*SIN(O97+P97-2*Q97)+192*SIN(O97+2*Q97)-165*SIN(P97-2*Q97)-125*SIN(Q97)-110*SIN(O97+P97)+148*SIN(O97-P97)-55*SIN(2*R97-2*Q97)</f>
        <v>22217.7204191642</v>
      </c>
      <c r="O97" s="29" t="n">
        <f aca="false">2*PI()*(0.374897+1325.55241*K97 - INT(0.374897+1325.55241*K97))</f>
        <v>1.19169749419257</v>
      </c>
      <c r="P97" s="32" t="n">
        <f aca="false">2*PI()*(0.993133+99.997361*K97 - INT(0.993133+99.997361*K97))</f>
        <v>5.73270897583301</v>
      </c>
      <c r="Q97" s="32" t="n">
        <f aca="false">2*PI()*(0.827361+1236.853086*K97 - INT(0.827361+1236.853086*K97))</f>
        <v>1.96265932087686</v>
      </c>
      <c r="R97" s="32" t="n">
        <f aca="false">2*PI()*(0.259086+1342.227825*K97 - INT(0.259086+1342.227825*K97))</f>
        <v>5.6287001811899</v>
      </c>
      <c r="S97" s="32" t="n">
        <f aca="false">R97+(N97+412*SIN(2*R97)+541*SIN(P97))/206264.8062</f>
        <v>5.73311338076128</v>
      </c>
      <c r="T97" s="32" t="n">
        <f aca="false">R97-2*Q97</f>
        <v>1.70338153943619</v>
      </c>
      <c r="U97" s="24" t="n">
        <f aca="false">-526*SIN(T97)+44*SIN(O97+T97)-31*SIN(-O97+T97)-23*SIN(P97+T97)+11*SIN(-P97+T97)-25*SIN(-2*O97+R97)+21*SIN(-O97+R97)</f>
        <v>-555.934742774201</v>
      </c>
      <c r="V97" s="32" t="n">
        <f aca="false">2*PI()*(M97+N97/1296000-INT(M97+N97/1296000))</f>
        <v>0.181793392745066</v>
      </c>
      <c r="W97" s="31" t="n">
        <f aca="false">V97/$E$6</f>
        <v>10.4159941476565</v>
      </c>
      <c r="X97" s="32" t="n">
        <f aca="false">(18520*SIN(S97)+U97)/206264.8062</f>
        <v>-0.0496315295598142</v>
      </c>
      <c r="Y97" s="32" t="n">
        <f aca="false">COS(X97)*COS(V97)</f>
        <v>0.982309940967496</v>
      </c>
      <c r="Z97" s="32" t="n">
        <f aca="false">COS(X97)*SIN(V97)</f>
        <v>0.180571074878906</v>
      </c>
      <c r="AA97" s="32" t="n">
        <f aca="false">SIN(X97)</f>
        <v>-0.0496111559380749</v>
      </c>
      <c r="AB97" s="32" t="n">
        <f aca="false">COS($E$6*(23.4393-46.815*K97/3600))*Z97-SIN($E$6*(23.4393-46.815*K97/3600))*AA97</f>
        <v>0.18540627094597</v>
      </c>
      <c r="AC97" s="32" t="n">
        <f aca="false">SIN($E$6*(23.4393-46.815*K97/3600))*Z97+COS($E$6*(23.4393-46.815*K97/3600))*AA97</f>
        <v>0.0263000868885413</v>
      </c>
      <c r="AD97" s="32" t="n">
        <f aca="false">SQRT(1-AC97*AC97)</f>
        <v>0.999654092888963</v>
      </c>
      <c r="AE97" s="31" t="n">
        <f aca="false">ATAN(AC97/AD97)/$E$6</f>
        <v>1.50705775087918</v>
      </c>
      <c r="AF97" s="32" t="n">
        <f aca="false">IF(24*ATAN(AB97/(Y97+AD97))/PI()&gt;0,24*ATAN(AB97/(Y97+AD97))/PI(),24*ATAN(AB97/(Y97+AD97))/PI()+24)</f>
        <v>0.712570701022521</v>
      </c>
      <c r="AG97" s="31" t="n">
        <f aca="false">IF(L97-15*AF97&gt;0,L97-15*AF97,360+L97-15*AF97)</f>
        <v>68.5984734430227</v>
      </c>
      <c r="AH97" s="29" t="n">
        <f aca="false">0.950724+0.051818*COS(O97)+0.009531*COS(2*Q97-O97)+0.007843*COS(2*Q97)+0.002824*COS(2*O97)+0.000857*COS(2*Q97+O97)+0.000533*COS(2*Q97-P97)*(1-0.002495*(J97-2415020)/36525)+0.000401*COS(2*Q97-P97-O97)*(1-0.002495*(J97-2415020)/36525)+0.00032*COS(O97-P97)*(1-0.002495*(J97-2415020)/36525)-0.000271*COS(Q97)</f>
        <v>0.953412878736219</v>
      </c>
      <c r="AI97" s="32" t="n">
        <f aca="false">ASIN(COS($E$6*$E$2)*COS($E$6*AE97)*COS($E$6*AG97)+SIN($E$6*$E$2)*SIN($E$6*AE97))/$E$6</f>
        <v>14.7510768111923</v>
      </c>
      <c r="AJ97" s="29" t="n">
        <f aca="false">ASIN((0.9983271+0.0016764*COS($E$6*2*$E$2))*COS($E$6*AI97)*SIN($E$6*AH97))/$E$6</f>
        <v>0.920175790171484</v>
      </c>
      <c r="AK97" s="29" t="n">
        <f aca="false">AI97-AJ97</f>
        <v>13.8309010210208</v>
      </c>
      <c r="AL97" s="31" t="n">
        <f aca="false"> MOD(280.4664567 + 360007.6982779*K97/10 + 0.03032028*K97^2/100 + K97^3/49931000,360)</f>
        <v>251.792813423946</v>
      </c>
      <c r="AM97" s="29" t="n">
        <f aca="false"> AL97 + (1.9146 - 0.004817*K97 - 0.000014*K97^2)*SIN(P97)+ (0.019993 - 0.000101*K97)*SIN(2*P97)+ 0.00029*SIN(3*P97)</f>
        <v>250.773782028641</v>
      </c>
      <c r="AN97" s="29" t="n">
        <f aca="false">ACOS(COS(V97-$E$6*AM97)*COS(X97))/$E$6</f>
        <v>119.602071345624</v>
      </c>
      <c r="AO97" s="24" t="n">
        <f aca="false">180 - AN97 -0.1468*(1-0.0549*SIN(P97))*SIN($E$6*AN97)/(1-0.0167*SIN($E$6*AM97))</f>
        <v>60.2686622461801</v>
      </c>
      <c r="AP97" s="48" t="n">
        <f aca="false">SIN($E$6*AG97)</f>
        <v>0.931046093957356</v>
      </c>
      <c r="AQ97" s="48" t="n">
        <f aca="false">COS($E$6*AG97)*SIN($E$6*$E$2) - TAN($E$6*AE97)*COS($E$6*$E$2)</f>
        <v>0.262619616177145</v>
      </c>
      <c r="AR97" s="48" t="n">
        <f aca="false">IF(OR(AND(AP97*AQ97&gt;0), AND(AP97&lt;0,AQ97&gt;0)), MOD(ATAN2(AQ97,AP97)/$E$6+360,360),  ATAN2(AQ97,AP97)/$E$6)</f>
        <v>74.2478645803111</v>
      </c>
      <c r="AS97" s="20" t="n">
        <f aca="false"> 385000.56 + (-20905355*COS(O97) - 3699111*COS(2*Q97-O97) - 2955968*COS(2*Q97) - 569925*COS(2*O97) + (1-0.002516*K97)*48888*COS(P97) - 3149*COS(2*R97)  +246158*COS(2*Q97-2*O97) -(1-0.002516*K97)*152138*COS(2*Q97-P97-O97) -170733*COS(2*Q97+O97) -(1-0.002516*K97)*204586*COS(2*Q97-P97) -(1-0.002516*K97)*129620*COS(P97-O97)  + 108743*COS(Q97) +(1-0.002516*K97)*104755*COS(P97+O97) +10321*COS(2*Q97-2*R97) +79661*COS(O97-2*R97) -34782*COS(4*Q97-O97) -23210*COS(3*O97)  -21636*COS(4*Q97-2*O97) +(1-0.002516*K97)*24208*COS(2*Q97+P97-O97) +(1-0.002516*K97)*30824*COS(2*Q97+P97) -8379*COS(Q97-O97) -(1-0.002516*K97)*16675*COS(Q97+P97)  -(1-0.002516*K97)*12831*COS(2*Q97-P97+O97) -10445*COS(2*Q97+2*O97) -11650*COS(4*Q97) +14403*COS(2*Q97-3*O97) -(1-0.002516*K97)*7003*COS(P97-2*O97)  + (1-0.002516*K97)*10056*COS(2*Q97-P97-2*O97) +6322*COS(Q97+O97) -(1-0.002516*K97)*(1-0.002516*K97)*9884*COS(2*Q97-2*P97) +(1-0.002516*K97)*5751*COS(P97+2*O97) -(1-0.002516*K97)*(1-0.002516*K97)*4950*COS(2*Q97-2*P97-O97)  +4130*COS(2*Q97+O97-2*R97) -(1-0.002516*K97)*3958*COS(4*Q97-P97-O97) +3258*COS(3*Q97-O97) +(1-0.002516*K97)*2616*COS(2*Q97+P97+O97) -(1-0.002516*K97)*1897*COS(4*Q97-P97-2*O97)  -(1-0.002516*K97)*(1-0.002516*K97)*2117*COS(2*P97-O97) +(1-0.002516*K97)*(1-0.002516*K97)*2354*COS(2*Q97+2*P97-O97) -1423*COS(4*Q97+O97) -1117*COS(4*O97) -(1-0.002516*K97)*1571*COS(4*Q97-P97)  -1739*COS(Q97-2*O97) -4421*COS(2*O97-2*R97) +(1-0.002516*K97)*(1-0.002516*K97)*1165*COS(2*P97+O97) +8752*COS(2*Q97-O97-2*R97))/1000</f>
        <v>383261.155917676</v>
      </c>
      <c r="AT97" s="24" t="n">
        <f aca="false">60*ATAN(3476/AS97)/$E$6</f>
        <v>31.1779056208551</v>
      </c>
      <c r="AU97" s="28" t="n">
        <f aca="false">ATAN(0.99664719*TAN($E$6*input!$D$2))</f>
        <v>0.871010436227447</v>
      </c>
      <c r="AV97" s="28" t="n">
        <f aca="false">COS(AU97)</f>
        <v>0.644053912545846</v>
      </c>
      <c r="AW97" s="28" t="n">
        <f aca="false">0.99664719*SIN(AU97)</f>
        <v>0.762415269897027</v>
      </c>
      <c r="AX97" s="28" t="n">
        <f aca="false">6378.14/AS97</f>
        <v>0.0166417595457287</v>
      </c>
      <c r="AY97" s="31" t="n">
        <f aca="false">L97-15*AF97</f>
        <v>68.5984734430227</v>
      </c>
      <c r="AZ97" s="29" t="n">
        <f aca="false">COS($E$6*AE97)*SIN($E$6*AY97)</f>
        <v>0.930724038492753</v>
      </c>
      <c r="BA97" s="29" t="n">
        <f aca="false">COS($E$6*AE97)*COS($E$6*AY97)-AV97*AX97</f>
        <v>0.35405717834083</v>
      </c>
      <c r="BB97" s="29" t="n">
        <f aca="false">SIN($E$6*AE97)-AW97*AX97</f>
        <v>0.0136121552929231</v>
      </c>
      <c r="BC97" s="45" t="n">
        <f aca="false">SQRT(AZ97^2+BA97^2+BB97^2)</f>
        <v>0.995886043749308</v>
      </c>
      <c r="BD97" s="20" t="n">
        <f aca="false">AS97*BC97</f>
        <v>381684.436289641</v>
      </c>
      <c r="BE97" s="30" t="str">
        <f aca="false">IF(OR(AND(BD97&gt;BD96,BD97&gt;BD98),AND(BD97&lt;BD96,BD97&lt;BD98)),BD97,"")</f>
        <v/>
      </c>
    </row>
    <row r="98" customFormat="false" ht="15" hidden="false" customHeight="false" outlineLevel="0" collapsed="false">
      <c r="A98" s="31" t="n">
        <v>48</v>
      </c>
      <c r="F98" s="38" t="n">
        <f aca="false">AK98</f>
        <v>9.35478063865319</v>
      </c>
      <c r="G98" s="39" t="n">
        <f aca="false">F98+1.02/(TAN($E$6*(F98+10.3/(F98+5.11)))*60)</f>
        <v>9.45053891437179</v>
      </c>
      <c r="H98" s="38" t="n">
        <f aca="false">100*(1+COS($E$6*AO98))/2</f>
        <v>74.9884318967539</v>
      </c>
      <c r="I98" s="38" t="n">
        <f aca="false">IF(AG98&gt;180, AR98-180,AR98+180)</f>
        <v>260.136565908432</v>
      </c>
      <c r="J98" s="31" t="n">
        <f aca="false">J97+0.5/24</f>
        <v>2459916.50000001</v>
      </c>
      <c r="K98" s="47" t="n">
        <f aca="false">(J98-2451545)/36525</f>
        <v>0.229199178644968</v>
      </c>
      <c r="L98" s="31" t="n">
        <f aca="false">MOD(280.46061837+360.98564736629*(J98-2451545)+0.000387933*K98^2-K98^3/38710000+$E$4,360)</f>
        <v>86.8075683349744</v>
      </c>
      <c r="M98" s="28" t="n">
        <f aca="false">0.606433+1336.855225*K98 - INT(0.606433+1336.855225*K98)</f>
        <v>0.0125525372336597</v>
      </c>
      <c r="N98" s="31" t="n">
        <f aca="false">22640*SIN(O98)-4586*SIN(O98-2*Q98)+2370*SIN(2*Q98)+769*SIN(2*O98)-668*SIN(P98)-412*SIN(2*R98)-212*SIN(2*O98-2*Q98)-206*SIN(O98+P98-2*Q98)+192*SIN(O98+2*Q98)-165*SIN(P98-2*Q98)-125*SIN(Q98)-110*SIN(O98+P98)+148*SIN(O98-P98)-55*SIN(2*R98-2*Q98)</f>
        <v>22218.139220798</v>
      </c>
      <c r="O98" s="29" t="n">
        <f aca="false">2*PI()*(0.374897+1325.55241*K98 - INT(0.374897+1325.55241*K98))</f>
        <v>1.19644805972305</v>
      </c>
      <c r="P98" s="32" t="n">
        <f aca="false">2*PI()*(0.993133+99.997361*K98 - INT(0.993133+99.997361*K98))</f>
        <v>5.73306735020789</v>
      </c>
      <c r="Q98" s="32" t="n">
        <f aca="false">2*PI()*(0.827361+1236.853086*K98 - INT(0.827361+1236.853086*K98))</f>
        <v>1.96709200237048</v>
      </c>
      <c r="R98" s="32" t="n">
        <f aca="false">2*PI()*(0.259086+1342.227825*K98 - INT(0.259086+1342.227825*K98))</f>
        <v>5.63351050871185</v>
      </c>
      <c r="S98" s="32" t="n">
        <f aca="false">R98+(N98+412*SIN(2*R98)+541*SIN(P98))/206264.8062</f>
        <v>5.73793160321303</v>
      </c>
      <c r="T98" s="32" t="n">
        <f aca="false">R98-2*Q98</f>
        <v>1.6993265039709</v>
      </c>
      <c r="U98" s="24" t="n">
        <f aca="false">-526*SIN(T98)+44*SIN(O98+T98)-31*SIN(-O98+T98)-23*SIN(P98+T98)+11*SIN(-P98+T98)-25*SIN(-2*O98+R98)+21*SIN(-O98+R98)</f>
        <v>-556.055310680599</v>
      </c>
      <c r="V98" s="32" t="n">
        <f aca="false">2*PI()*(M98+N98/1296000-INT(M98+N98/1296000))</f>
        <v>0.186586496144748</v>
      </c>
      <c r="W98" s="31" t="n">
        <f aca="false">V98/$E$6</f>
        <v>10.690618743228</v>
      </c>
      <c r="X98" s="32" t="n">
        <f aca="false">(18520*SIN(S98)+U98)/206264.8062</f>
        <v>-0.049262771114015</v>
      </c>
      <c r="Y98" s="32" t="n">
        <f aca="false">COS(X98)*COS(V98)</f>
        <v>0.981451075022852</v>
      </c>
      <c r="Z98" s="32" t="n">
        <f aca="false">COS(X98)*SIN(V98)</f>
        <v>0.185280676910216</v>
      </c>
      <c r="AA98" s="32" t="n">
        <f aca="false">SIN(X98)</f>
        <v>-0.0492428482135287</v>
      </c>
      <c r="AB98" s="32" t="n">
        <f aca="false">COS($E$6*(23.4393-46.815*K98/3600))*Z98-SIN($E$6*(23.4393-46.815*K98/3600))*AA98</f>
        <v>0.189580856616617</v>
      </c>
      <c r="AC98" s="32" t="n">
        <f aca="false">SIN($E$6*(23.4393-46.815*K98/3600))*Z98+COS($E$6*(23.4393-46.815*K98/3600))*AA98</f>
        <v>0.0285111581840898</v>
      </c>
      <c r="AD98" s="32" t="n">
        <f aca="false">SQRT(1-AC98*AC98)</f>
        <v>0.999593474297928</v>
      </c>
      <c r="AE98" s="31" t="n">
        <f aca="false">ATAN(AC98/AD98)/$E$6</f>
        <v>1.63379043157967</v>
      </c>
      <c r="AF98" s="32" t="n">
        <f aca="false">IF(24*ATAN(AB98/(Y98+AD98))/PI()&gt;0,24*ATAN(AB98/(Y98+AD98))/PI(),24*ATAN(AB98/(Y98+AD98))/PI()+24)</f>
        <v>0.728854911023518</v>
      </c>
      <c r="AG98" s="31" t="n">
        <f aca="false">IF(L98-15*AF98&gt;0,L98-15*AF98,360+L98-15*AF98)</f>
        <v>75.8747446696216</v>
      </c>
      <c r="AH98" s="29" t="n">
        <f aca="false">0.950724+0.051818*COS(O98)+0.009531*COS(2*Q98-O98)+0.007843*COS(2*Q98)+0.002824*COS(2*O98)+0.000857*COS(2*Q98+O98)+0.000533*COS(2*Q98-P98)*(1-0.002495*(J98-2415020)/36525)+0.000401*COS(2*Q98-P98-O98)*(1-0.002495*(J98-2415020)/36525)+0.00032*COS(O98-P98)*(1-0.002495*(J98-2415020)/36525)-0.000271*COS(Q98)</f>
        <v>0.953214474356693</v>
      </c>
      <c r="AI98" s="32" t="n">
        <f aca="false">ASIN(COS($E$6*$E$2)*COS($E$6*AE98)*COS($E$6*AG98)+SIN($E$6*$E$2)*SIN($E$6*AE98))/$E$6</f>
        <v>10.2908178562392</v>
      </c>
      <c r="AJ98" s="29" t="n">
        <f aca="false">ASIN((0.9983271+0.0016764*COS($E$6*2*$E$2))*COS($E$6*AI98)*SIN($E$6*AH98))/$E$6</f>
        <v>0.936037217586016</v>
      </c>
      <c r="AK98" s="29" t="n">
        <f aca="false">AI98-AJ98</f>
        <v>9.35478063865319</v>
      </c>
      <c r="AL98" s="31" t="n">
        <f aca="false"> MOD(280.4664567 + 360007.6982779*K98/10 + 0.03032028*K98^2/100 + K98^3/49931000,360)</f>
        <v>251.813347744179</v>
      </c>
      <c r="AM98" s="29" t="n">
        <f aca="false"> AL98 + (1.9146 - 0.004817*K98 - 0.000014*K98^2)*SIN(P98)+ (0.019993 - 0.000101*K98)*SIN(2*P98)+ 0.00029*SIN(3*P98)</f>
        <v>250.794907320476</v>
      </c>
      <c r="AN98" s="29" t="n">
        <f aca="false">ACOS(COS(V98-$E$6*AM98)*COS(X98))/$E$6</f>
        <v>119.855756771221</v>
      </c>
      <c r="AO98" s="24" t="n">
        <f aca="false">180 - AN98 -0.1468*(1-0.0549*SIN(P98))*SIN($E$6*AN98)/(1-0.0167*SIN($E$6*AM98))</f>
        <v>60.0153056108974</v>
      </c>
      <c r="AP98" s="48" t="n">
        <f aca="false">SIN($E$6*AG98)</f>
        <v>0.969764538331013</v>
      </c>
      <c r="AQ98" s="48" t="n">
        <f aca="false">COS($E$6*AG98)*SIN($E$6*$E$2) - TAN($E$6*AE98)*COS($E$6*$E$2)</f>
        <v>0.168613325991786</v>
      </c>
      <c r="AR98" s="48" t="n">
        <f aca="false">IF(OR(AND(AP98*AQ98&gt;0), AND(AP98&lt;0,AQ98&gt;0)), MOD(ATAN2(AQ98,AP98)/$E$6+360,360),  ATAN2(AQ98,AP98)/$E$6)</f>
        <v>80.1365659084318</v>
      </c>
      <c r="AS98" s="20" t="n">
        <f aca="false"> 385000.56 + (-20905355*COS(O98) - 3699111*COS(2*Q98-O98) - 2955968*COS(2*Q98) - 569925*COS(2*O98) + (1-0.002516*K98)*48888*COS(P98) - 3149*COS(2*R98)  +246158*COS(2*Q98-2*O98) -(1-0.002516*K98)*152138*COS(2*Q98-P98-O98) -170733*COS(2*Q98+O98) -(1-0.002516*K98)*204586*COS(2*Q98-P98) -(1-0.002516*K98)*129620*COS(P98-O98)  + 108743*COS(Q98) +(1-0.002516*K98)*104755*COS(P98+O98) +10321*COS(2*Q98-2*R98) +79661*COS(O98-2*R98) -34782*COS(4*Q98-O98) -23210*COS(3*O98)  -21636*COS(4*Q98-2*O98) +(1-0.002516*K98)*24208*COS(2*Q98+P98-O98) +(1-0.002516*K98)*30824*COS(2*Q98+P98) -8379*COS(Q98-O98) -(1-0.002516*K98)*16675*COS(Q98+P98)  -(1-0.002516*K98)*12831*COS(2*Q98-P98+O98) -10445*COS(2*Q98+2*O98) -11650*COS(4*Q98) +14403*COS(2*Q98-3*O98) -(1-0.002516*K98)*7003*COS(P98-2*O98)  + (1-0.002516*K98)*10056*COS(2*Q98-P98-2*O98) +6322*COS(Q98+O98) -(1-0.002516*K98)*(1-0.002516*K98)*9884*COS(2*Q98-2*P98) +(1-0.002516*K98)*5751*COS(P98+2*O98) -(1-0.002516*K98)*(1-0.002516*K98)*4950*COS(2*Q98-2*P98-O98)  +4130*COS(2*Q98+O98-2*R98) -(1-0.002516*K98)*3958*COS(4*Q98-P98-O98) +3258*COS(3*Q98-O98) +(1-0.002516*K98)*2616*COS(2*Q98+P98+O98) -(1-0.002516*K98)*1897*COS(4*Q98-P98-2*O98)  -(1-0.002516*K98)*(1-0.002516*K98)*2117*COS(2*P98-O98) +(1-0.002516*K98)*(1-0.002516*K98)*2354*COS(2*Q98+2*P98-O98) -1423*COS(4*Q98+O98) -1117*COS(4*O98) -(1-0.002516*K98)*1571*COS(4*Q98-P98)  -1739*COS(Q98-2*O98) -4421*COS(2*O98-2*R98) +(1-0.002516*K98)*(1-0.002516*K98)*1165*COS(2*P98+O98) +8752*COS(2*Q98-O98-2*R98))/1000</f>
        <v>383340.937459843</v>
      </c>
      <c r="AT98" s="24" t="n">
        <f aca="false">60*ATAN(3476/AS98)/$E$6</f>
        <v>31.1714171798959</v>
      </c>
      <c r="AU98" s="28" t="n">
        <f aca="false">ATAN(0.99664719*TAN($E$6*input!$D$2))</f>
        <v>0.871010436227447</v>
      </c>
      <c r="AV98" s="28" t="n">
        <f aca="false">COS(AU98)</f>
        <v>0.644053912545846</v>
      </c>
      <c r="AW98" s="28" t="n">
        <f aca="false">0.99664719*SIN(AU98)</f>
        <v>0.762415269897027</v>
      </c>
      <c r="AX98" s="28" t="n">
        <f aca="false">6378.14/AS98</f>
        <v>0.0166382960355445</v>
      </c>
      <c r="AY98" s="31" t="n">
        <f aca="false">L98-15*AF98</f>
        <v>75.8747446696216</v>
      </c>
      <c r="AZ98" s="29" t="n">
        <f aca="false">COS($E$6*AE98)*SIN($E$6*AY98)</f>
        <v>0.969370304121223</v>
      </c>
      <c r="BA98" s="29" t="n">
        <f aca="false">COS($E$6*AE98)*COS($E$6*AY98)-AV98*AX98</f>
        <v>0.233227327493044</v>
      </c>
      <c r="BB98" s="29" t="n">
        <f aca="false">SIN($E$6*AE98)-AW98*AX98</f>
        <v>0.0158258672215236</v>
      </c>
      <c r="BC98" s="45" t="n">
        <f aca="false">SQRT(AZ98^2+BA98^2+BB98^2)</f>
        <v>0.997158077174794</v>
      </c>
      <c r="BD98" s="20" t="n">
        <f aca="false">AS98*BC98</f>
        <v>382251.51209984</v>
      </c>
      <c r="BE98" s="30" t="str">
        <f aca="false">IF(OR(AND(BD98&gt;BD97,BD98&gt;BD99),AND(BD98&lt;BD97,BD98&lt;BD99)),BD98,"")</f>
        <v/>
      </c>
    </row>
    <row r="99" customFormat="false" ht="15" hidden="false" customHeight="false" outlineLevel="0" collapsed="false">
      <c r="A99" s="31" t="n">
        <v>48.5</v>
      </c>
      <c r="F99" s="38" t="n">
        <f aca="false">AK99</f>
        <v>4.80149385529291</v>
      </c>
      <c r="G99" s="39" t="n">
        <f aca="false">F99+1.02/(TAN($E$6*(F99+10.3/(F99+5.11)))*60)</f>
        <v>4.96768171498699</v>
      </c>
      <c r="H99" s="38" t="n">
        <f aca="false">100*(1+COS($E$6*AO99))/2</f>
        <v>75.1796082210901</v>
      </c>
      <c r="I99" s="38" t="n">
        <f aca="false">IF(AG99&gt;180, AR99-180,AR99+180)</f>
        <v>265.87551167859</v>
      </c>
      <c r="J99" s="31" t="n">
        <f aca="false">J98+0.5/24</f>
        <v>2459916.52083334</v>
      </c>
      <c r="K99" s="47" t="n">
        <f aca="false">(J99-2451545)/36525</f>
        <v>0.229199749030553</v>
      </c>
      <c r="L99" s="31" t="n">
        <f aca="false">MOD(280.46061837+360.98564736629*(J99-2451545)+0.000387933*K99^2-K99^3/38710000+$E$4,360)</f>
        <v>94.3281027111225</v>
      </c>
      <c r="M99" s="28" t="n">
        <f aca="false">0.606433+1336.855225*K99 - INT(0.606433+1336.855225*K99)</f>
        <v>0.0133150601831176</v>
      </c>
      <c r="N99" s="31" t="n">
        <f aca="false">22640*SIN(O99)-4586*SIN(O99-2*Q99)+2370*SIN(2*Q99)+769*SIN(2*O99)-668*SIN(P99)-412*SIN(2*R99)-212*SIN(2*O99-2*Q99)-206*SIN(O99+P99-2*Q99)+192*SIN(O99+2*Q99)-165*SIN(P99-2*Q99)-125*SIN(Q99)-110*SIN(O99+P99)+148*SIN(O99-P99)-55*SIN(2*R99-2*Q99)</f>
        <v>22218.146286999</v>
      </c>
      <c r="O99" s="29" t="n">
        <f aca="false">2*PI()*(0.374897+1325.55241*K99 - INT(0.374897+1325.55241*K99))</f>
        <v>1.20119862525388</v>
      </c>
      <c r="P99" s="32" t="n">
        <f aca="false">2*PI()*(0.993133+99.997361*K99 - INT(0.993133+99.997361*K99))</f>
        <v>5.73342572458278</v>
      </c>
      <c r="Q99" s="32" t="n">
        <f aca="false">2*PI()*(0.827361+1236.853086*K99 - INT(0.827361+1236.853086*K99))</f>
        <v>1.9715246838641</v>
      </c>
      <c r="R99" s="32" t="n">
        <f aca="false">2*PI()*(0.259086+1342.227825*K99 - INT(0.259086+1342.227825*K99))</f>
        <v>5.6383208362338</v>
      </c>
      <c r="S99" s="32" t="n">
        <f aca="false">R99+(N99+412*SIN(2*R99)+541*SIN(P99))/206264.8062</f>
        <v>5.74274800779672</v>
      </c>
      <c r="T99" s="32" t="n">
        <f aca="false">R99-2*Q99</f>
        <v>1.69527146850561</v>
      </c>
      <c r="U99" s="24" t="n">
        <f aca="false">-526*SIN(T99)+44*SIN(O99+T99)-31*SIN(-O99+T99)-23*SIN(P99+T99)+11*SIN(-P99+T99)-25*SIN(-2*O99+R99)+21*SIN(-O99+R99)</f>
        <v>-556.166081799537</v>
      </c>
      <c r="V99" s="32" t="n">
        <f aca="false">2*PI()*(M99+N99/1296000-INT(M99+N99/1296000))</f>
        <v>0.191377603395078</v>
      </c>
      <c r="W99" s="31" t="n">
        <f aca="false">V99/$E$6</f>
        <v>10.9651289678665</v>
      </c>
      <c r="X99" s="32" t="n">
        <f aca="false">(18520*SIN(S99)+U99)/206264.8062</f>
        <v>-0.0488930240703285</v>
      </c>
      <c r="Y99" s="32" t="n">
        <f aca="false">COS(X99)*COS(V99)</f>
        <v>0.980569922344311</v>
      </c>
      <c r="Z99" s="32" t="n">
        <f aca="false">COS(X99)*SIN(V99)</f>
        <v>0.189984220024377</v>
      </c>
      <c r="AA99" s="32" t="n">
        <f aca="false">SIN(X99)</f>
        <v>-0.0488735463763393</v>
      </c>
      <c r="AB99" s="32" t="n">
        <f aca="false">COS($E$6*(23.4393-46.815*K99/3600))*Z99-SIN($E$6*(23.4393-46.815*K99/3600))*AA99</f>
        <v>0.193749487827049</v>
      </c>
      <c r="AC99" s="32" t="n">
        <f aca="false">SIN($E$6*(23.4393-46.815*K99/3600))*Z99+COS($E$6*(23.4393-46.815*K99/3600))*AA99</f>
        <v>0.0307207317690715</v>
      </c>
      <c r="AD99" s="32" t="n">
        <f aca="false">SQRT(1-AC99*AC99)</f>
        <v>0.999528006931058</v>
      </c>
      <c r="AE99" s="31" t="n">
        <f aca="false">ATAN(AC99/AD99)/$E$6</f>
        <v>1.76044525529044</v>
      </c>
      <c r="AF99" s="32" t="n">
        <f aca="false">IF(24*ATAN(AB99/(Y99+AD99))/PI()&gt;0,24*ATAN(AB99/(Y99+AD99))/PI(),24*ATAN(AB99/(Y99+AD99))/PI()+24)</f>
        <v>0.745134986084051</v>
      </c>
      <c r="AG99" s="31" t="n">
        <f aca="false">IF(L99-15*AF99&gt;0,L99-15*AF99,360+L99-15*AF99)</f>
        <v>83.1510779198617</v>
      </c>
      <c r="AH99" s="29" t="n">
        <f aca="false">0.950724+0.051818*COS(O99)+0.009531*COS(2*Q99-O99)+0.007843*COS(2*Q99)+0.002824*COS(2*O99)+0.000857*COS(2*Q99+O99)+0.000533*COS(2*Q99-P99)*(1-0.002495*(J99-2415020)/36525)+0.000401*COS(2*Q99-P99-O99)*(1-0.002495*(J99-2415020)/36525)+0.00032*COS(O99-P99)*(1-0.002495*(J99-2415020)/36525)-0.000271*COS(Q99)</f>
        <v>0.95301635899486</v>
      </c>
      <c r="AI99" s="32" t="n">
        <f aca="false">ASIN(COS($E$6*$E$2)*COS($E$6*AE99)*COS($E$6*AG99)+SIN($E$6*$E$2)*SIN($E$6*AE99))/$E$6</f>
        <v>5.7478557779658</v>
      </c>
      <c r="AJ99" s="29" t="n">
        <f aca="false">ASIN((0.9983271+0.0016764*COS($E$6*2*$E$2))*COS($E$6*AI99)*SIN($E$6*AH99))/$E$6</f>
        <v>0.946361922672892</v>
      </c>
      <c r="AK99" s="29" t="n">
        <f aca="false">AI99-AJ99</f>
        <v>4.80149385529291</v>
      </c>
      <c r="AL99" s="31" t="n">
        <f aca="false"> MOD(280.4664567 + 360007.6982779*K99/10 + 0.03032028*K99^2/100 + K99^3/49931000,360)</f>
        <v>251.833882064413</v>
      </c>
      <c r="AM99" s="29" t="n">
        <f aca="false"> AL99 + (1.9146 - 0.004817*K99 - 0.000014*K99^2)*SIN(P99)+ (0.019993 - 0.000101*K99)*SIN(2*P99)+ 0.00029*SIN(3*P99)</f>
        <v>250.816032750267</v>
      </c>
      <c r="AN99" s="29" t="n">
        <f aca="false">ACOS(COS(V99-$E$6*AM99)*COS(X99))/$E$6</f>
        <v>120.109335168933</v>
      </c>
      <c r="AO99" s="24" t="n">
        <f aca="false">180 - AN99 -0.1468*(1-0.0549*SIN(P99))*SIN($E$6*AN99)/(1-0.0167*SIN($E$6*AM99))</f>
        <v>59.7620583800736</v>
      </c>
      <c r="AP99" s="48" t="n">
        <f aca="false">SIN($E$6*AG99)</f>
        <v>0.992864046760865</v>
      </c>
      <c r="AQ99" s="48" t="n">
        <f aca="false">COS($E$6*AG99)*SIN($E$6*$E$2) - TAN($E$6*AE99)*COS($E$6*$E$2)</f>
        <v>0.0715959251998905</v>
      </c>
      <c r="AR99" s="48" t="n">
        <f aca="false">IF(OR(AND(AP99*AQ99&gt;0), AND(AP99&lt;0,AQ99&gt;0)), MOD(ATAN2(AQ99,AP99)/$E$6+360,360),  ATAN2(AQ99,AP99)/$E$6)</f>
        <v>85.8755116785904</v>
      </c>
      <c r="AS99" s="20" t="n">
        <f aca="false"> 385000.56 + (-20905355*COS(O99) - 3699111*COS(2*Q99-O99) - 2955968*COS(2*Q99) - 569925*COS(2*O99) + (1-0.002516*K99)*48888*COS(P99) - 3149*COS(2*R99)  +246158*COS(2*Q99-2*O99) -(1-0.002516*K99)*152138*COS(2*Q99-P99-O99) -170733*COS(2*Q99+O99) -(1-0.002516*K99)*204586*COS(2*Q99-P99) -(1-0.002516*K99)*129620*COS(P99-O99)  + 108743*COS(Q99) +(1-0.002516*K99)*104755*COS(P99+O99) +10321*COS(2*Q99-2*R99) +79661*COS(O99-2*R99) -34782*COS(4*Q99-O99) -23210*COS(3*O99)  -21636*COS(4*Q99-2*O99) +(1-0.002516*K99)*24208*COS(2*Q99+P99-O99) +(1-0.002516*K99)*30824*COS(2*Q99+P99) -8379*COS(Q99-O99) -(1-0.002516*K99)*16675*COS(Q99+P99)  -(1-0.002516*K99)*12831*COS(2*Q99-P99+O99) -10445*COS(2*Q99+2*O99) -11650*COS(4*Q99) +14403*COS(2*Q99-3*O99) -(1-0.002516*K99)*7003*COS(P99-2*O99)  + (1-0.002516*K99)*10056*COS(2*Q99-P99-2*O99) +6322*COS(Q99+O99) -(1-0.002516*K99)*(1-0.002516*K99)*9884*COS(2*Q99-2*P99) +(1-0.002516*K99)*5751*COS(P99+2*O99) -(1-0.002516*K99)*(1-0.002516*K99)*4950*COS(2*Q99-2*P99-O99)  +4130*COS(2*Q99+O99-2*R99) -(1-0.002516*K99)*3958*COS(4*Q99-P99-O99) +3258*COS(3*Q99-O99) +(1-0.002516*K99)*2616*COS(2*Q99+P99+O99) -(1-0.002516*K99)*1897*COS(4*Q99-P99-2*O99)  -(1-0.002516*K99)*(1-0.002516*K99)*2117*COS(2*P99-O99) +(1-0.002516*K99)*(1-0.002516*K99)*2354*COS(2*Q99+2*P99-O99) -1423*COS(4*Q99+O99) -1117*COS(4*O99) -(1-0.002516*K99)*1571*COS(4*Q99-P99)  -1739*COS(Q99-2*O99) -4421*COS(2*O99-2*R99) +(1-0.002516*K99)*(1-0.002516*K99)*1165*COS(2*P99+O99) +8752*COS(2*Q99-O99-2*R99))/1000</f>
        <v>383420.650339895</v>
      </c>
      <c r="AT99" s="24" t="n">
        <f aca="false">60*ATAN(3476/AS99)/$E$6</f>
        <v>31.1649370195632</v>
      </c>
      <c r="AU99" s="28" t="n">
        <f aca="false">ATAN(0.99664719*TAN($E$6*input!$D$2))</f>
        <v>0.871010436227447</v>
      </c>
      <c r="AV99" s="28" t="n">
        <f aca="false">COS(AU99)</f>
        <v>0.644053912545846</v>
      </c>
      <c r="AW99" s="28" t="n">
        <f aca="false">0.99664719*SIN(AU99)</f>
        <v>0.762415269897027</v>
      </c>
      <c r="AX99" s="28" t="n">
        <f aca="false">6378.14/AS99</f>
        <v>0.016634836945652</v>
      </c>
      <c r="AY99" s="31" t="n">
        <f aca="false">L99-15*AF99</f>
        <v>83.1510779198617</v>
      </c>
      <c r="AZ99" s="29" t="n">
        <f aca="false">COS($E$6*AE99)*SIN($E$6*AY99)</f>
        <v>0.992395421812392</v>
      </c>
      <c r="BA99" s="29" t="n">
        <f aca="false">COS($E$6*AE99)*COS($E$6*AY99)-AV99*AX99</f>
        <v>0.108481752178003</v>
      </c>
      <c r="BB99" s="29" t="n">
        <f aca="false">SIN($E$6*AE99)-AW99*AX99</f>
        <v>0.0180380780694592</v>
      </c>
      <c r="BC99" s="45" t="n">
        <f aca="false">SQRT(AZ99^2+BA99^2+BB99^2)</f>
        <v>0.998469997571407</v>
      </c>
      <c r="BD99" s="20" t="n">
        <f aca="false">AS99*BC99</f>
        <v>382834.015813702</v>
      </c>
    </row>
    <row r="100" customFormat="false" ht="15" hidden="false" customHeight="false" outlineLevel="0" collapsed="false">
      <c r="A100" s="0"/>
      <c r="B100" s="0"/>
      <c r="C100" s="0"/>
      <c r="D100" s="0"/>
      <c r="E100" s="0"/>
      <c r="F100" s="0"/>
      <c r="G100" s="0"/>
      <c r="H100" s="0"/>
      <c r="I100" s="0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9"/>
      <c r="AT100" s="0"/>
      <c r="AU100" s="15"/>
      <c r="AV100" s="15"/>
      <c r="AW100" s="15"/>
      <c r="AX100" s="51"/>
      <c r="AY100" s="34"/>
      <c r="AZ100" s="52"/>
      <c r="BA100" s="53"/>
      <c r="BB100" s="53"/>
      <c r="BC100" s="54"/>
      <c r="BD100" s="55"/>
      <c r="BE100" s="15"/>
      <c r="BF100" s="0"/>
      <c r="BG100" s="15" t="s">
        <v>20</v>
      </c>
      <c r="BH100" s="0"/>
      <c r="BI100" s="0"/>
    </row>
    <row r="101" customFormat="false" ht="15" hidden="false" customHeight="false" outlineLevel="0" collapsed="false">
      <c r="AR101" s="56" t="s">
        <v>75</v>
      </c>
      <c r="AS101" s="17" t="n">
        <f aca="false">MAX(AS2:AS50)</f>
        <v>379447.182573205</v>
      </c>
      <c r="BD101" s="0"/>
      <c r="BE101" s="19" t="n">
        <f aca="false">MIN(BE3:BE98)</f>
        <v>374889.189253582</v>
      </c>
      <c r="BF101" s="30" t="e">
        <f aca="false">MATCH(MIN(BE3:BE98),topo,1)</f>
        <v>#N/A</v>
      </c>
      <c r="BG101" s="16" t="e">
        <f aca="false">INDEX(UT,BF101)</f>
        <v>#N/A</v>
      </c>
    </row>
    <row r="102" customFormat="false" ht="15" hidden="false" customHeight="false" outlineLevel="0" collapsed="false">
      <c r="AR102" s="56" t="s">
        <v>76</v>
      </c>
      <c r="AS102" s="17" t="n">
        <f aca="false">MIN(AS2:AS50)</f>
        <v>375495.904139444</v>
      </c>
      <c r="BD102" s="0"/>
      <c r="BE102" s="19" t="n">
        <f aca="false">MAX(BE4:BE99)</f>
        <v>384910.345462277</v>
      </c>
      <c r="BF102" s="30" t="n">
        <f aca="false">MATCH(MAX(BE3:BBE98),topo,1)</f>
        <v>62</v>
      </c>
      <c r="BG102" s="16" t="n">
        <f aca="false">INDEX(UT,BF102)</f>
        <v>30.5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  <drawing r:id="rId1"/>
  <tableParts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G112"/>
  <sheetViews>
    <sheetView showFormulas="false" showGridLines="true" showRowColHeaders="true" showZeros="true" rightToLeft="false" tabSelected="false" showOutlineSymbols="true" defaultGridColor="true" view="normal" topLeftCell="A88" colorId="64" zoomScale="100" zoomScaleNormal="100" zoomScalePageLayoutView="100" workbookViewId="0">
      <selection pane="topLeft" activeCell="M104" activeCellId="0" sqref="M104"/>
    </sheetView>
  </sheetViews>
  <sheetFormatPr defaultColWidth="9.625" defaultRowHeight="15" zeroHeight="false" outlineLevelRow="0" outlineLevelCol="0"/>
  <cols>
    <col collapsed="false" customWidth="true" hidden="false" outlineLevel="0" max="1" min="1" style="1" width="7.8"/>
    <col collapsed="false" customWidth="false" hidden="false" outlineLevel="0" max="2" min="2" style="1" width="9.63"/>
    <col collapsed="false" customWidth="true" hidden="false" outlineLevel="0" max="3" min="3" style="1" width="9.51"/>
    <col collapsed="false" customWidth="true" hidden="false" outlineLevel="0" max="4" min="4" style="57" width="8.29"/>
    <col collapsed="false" customWidth="true" hidden="false" outlineLevel="0" max="5" min="5" style="4" width="10.72"/>
    <col collapsed="false" customWidth="true" hidden="false" outlineLevel="0" max="6" min="6" style="58" width="8.16"/>
    <col collapsed="false" customWidth="true" hidden="false" outlineLevel="0" max="7" min="7" style="57" width="9.02"/>
    <col collapsed="false" customWidth="true" hidden="false" outlineLevel="0" max="8" min="8" style="2" width="6.82"/>
    <col collapsed="false" customWidth="true" hidden="false" outlineLevel="0" max="9" min="9" style="59" width="7.8"/>
    <col collapsed="false" customWidth="true" hidden="false" outlineLevel="0" max="10" min="10" style="1" width="8.41"/>
    <col collapsed="false" customWidth="true" hidden="false" outlineLevel="0" max="11" min="11" style="2" width="7.19"/>
    <col collapsed="false" customWidth="true" hidden="false" outlineLevel="0" max="12" min="12" style="1" width="7.07"/>
    <col collapsed="false" customWidth="true" hidden="false" outlineLevel="0" max="13" min="13" style="1" width="8.41"/>
    <col collapsed="false" customWidth="true" hidden="false" outlineLevel="0" max="14" min="14" style="1" width="8.9"/>
    <col collapsed="false" customWidth="true" hidden="false" outlineLevel="0" max="15" min="15" style="6" width="10.23"/>
    <col collapsed="false" customWidth="false" hidden="false" outlineLevel="0" max="16" min="16" style="34" width="9.59"/>
    <col collapsed="false" customWidth="false" hidden="false" outlineLevel="0" max="17" min="17" style="2" width="9.59"/>
    <col collapsed="false" customWidth="false" hidden="false" outlineLevel="0" max="59" min="18" style="1" width="9.59"/>
  </cols>
  <sheetData>
    <row r="1" customFormat="false" ht="15" hidden="false" customHeight="false" outlineLevel="0" collapsed="false">
      <c r="A1" s="2" t="str">
        <f aca="false">calc!$B$1</f>
        <v>Date</v>
      </c>
      <c r="B1" s="2" t="str">
        <f aca="false">calc!$C$1</f>
        <v>Month</v>
      </c>
      <c r="C1" s="2" t="str">
        <f aca="false">calc!$D$1</f>
        <v>Year</v>
      </c>
      <c r="D1" s="2" t="str">
        <f aca="false">calc!$A$1</f>
        <v>UT</v>
      </c>
      <c r="E1" s="2" t="str">
        <f aca="false">calc!$G$1</f>
        <v>elevRefr</v>
      </c>
      <c r="F1" s="60" t="str">
        <f aca="false">calc!$I$1</f>
        <v>az</v>
      </c>
      <c r="G1" s="61" t="str">
        <f aca="false">calc!$H$1</f>
        <v>ill frac/%</v>
      </c>
      <c r="H1" s="2" t="s">
        <v>77</v>
      </c>
      <c r="I1" s="59" t="s">
        <v>78</v>
      </c>
      <c r="J1" s="2" t="s">
        <v>79</v>
      </c>
      <c r="K1" s="2" t="s">
        <v>80</v>
      </c>
      <c r="L1" s="2" t="s">
        <v>81</v>
      </c>
      <c r="M1" s="2" t="s">
        <v>37</v>
      </c>
      <c r="N1" s="2" t="s">
        <v>82</v>
      </c>
      <c r="O1" s="2"/>
      <c r="P1" s="62" t="s">
        <v>83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customFormat="false" ht="15" hidden="false" customHeight="false" outlineLevel="0" collapsed="false">
      <c r="A2" s="4" t="n">
        <f aca="false">calc!$B$2</f>
        <v>1</v>
      </c>
      <c r="B2" s="4" t="n">
        <f aca="false">calc!$C$2</f>
        <v>12</v>
      </c>
      <c r="C2" s="4" t="n">
        <f aca="false">calc!$D$2</f>
        <v>2022</v>
      </c>
      <c r="D2" s="34" t="n">
        <f aca="false">calc!$A$2</f>
        <v>0</v>
      </c>
      <c r="E2" s="63" t="n">
        <f aca="false">calc!$G$2</f>
        <v>-14.2151784378867</v>
      </c>
      <c r="F2" s="64" t="n">
        <f aca="false">calc!$I$2</f>
        <v>269.266688654779</v>
      </c>
      <c r="G2" s="48" t="n">
        <f aca="false">calc!$H$2</f>
        <v>54.4736968110266</v>
      </c>
      <c r="J2" s="4"/>
      <c r="K2" s="2" t="str">
        <f aca="false">IF(J2=1,E1/(E1-E2)*30,"")</f>
        <v/>
      </c>
      <c r="L2" s="0"/>
      <c r="M2" s="0"/>
      <c r="N2" s="2"/>
      <c r="O2" s="15"/>
      <c r="Q2" s="0"/>
      <c r="R2" s="4" t="n">
        <v>180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customFormat="false" ht="15" hidden="false" customHeight="false" outlineLevel="0" collapsed="false">
      <c r="A3" s="2" t="str">
        <f aca="false">calc!$E$1</f>
        <v>Lat.:</v>
      </c>
      <c r="B3" s="2" t="str">
        <f aca="false">calc!$E$3</f>
        <v>Long.:</v>
      </c>
      <c r="C3" s="5" t="str">
        <f aca="false">calc!$E$9</f>
        <v>common year</v>
      </c>
      <c r="D3" s="34" t="n">
        <f aca="false">calc!$A$3</f>
        <v>0.5</v>
      </c>
      <c r="E3" s="63" t="n">
        <f aca="false">calc!$G$3</f>
        <v>-18.7472155193705</v>
      </c>
      <c r="F3" s="64" t="n">
        <f aca="false">calc!$I$3</f>
        <v>274.961037934045</v>
      </c>
      <c r="G3" s="48" t="n">
        <f aca="false">calc!$H$3</f>
        <v>54.7036881865528</v>
      </c>
      <c r="H3" s="2" t="str">
        <f aca="false">IF(IF(AND(E3+0.5*calc!$AT$3/60&gt;0,E2+0.5*calc!$AT$2/60&lt;0),TRUE()),INT(D2),"")</f>
        <v/>
      </c>
      <c r="I3" s="59" t="str">
        <f aca="false">IF(IF(AND(E3+0.5*calc!$AT$3/60&gt;0,E2+0.5*calc!$AT$2/60&lt;0),TRUE()),IF(D2=INT(D2),ROUND(-30*(E2+0.5*calc!$AT$2/60)/(-E2+E3),1),ROUND(30-30*(E2+0.5*calc!$AT$2/60)/(-E2+E3),1)),"")</f>
        <v/>
      </c>
      <c r="J3" s="2" t="str">
        <f aca="false">IF(IF(AND(E3+0.5*calc!$AT$3/60&lt;0,E2+0.5*calc!$AT$2/60&gt;0),TRUE()),INT(D2),"")</f>
        <v/>
      </c>
      <c r="K3" s="2" t="str">
        <f aca="false">IF(IF(AND(E3+0.5*calc!$AT$3/60&lt;0,E2+0.5*calc!$AT$2/60&gt;0),TRUE()),IF(D2=INT(D2),ROUND(30*(E2+0.5*calc!$AT$2/60)/(E2-E3),1),ROUND(30+30*(E2+0.5*calc!$AT$2/60)/(E2-E3),1)),"")</f>
        <v/>
      </c>
      <c r="L3" s="4" t="str">
        <f aca="false">IF(H3&lt;&gt;"",H3&amp;":"&amp;IF(I3&gt;=10,I3,"0"&amp;I3),"")</f>
        <v/>
      </c>
      <c r="M3" s="4" t="str">
        <f aca="false">IF(J3&lt;&gt;"",J3&amp;":"&amp;IF(K3&gt;=10,K3,"0"&amp;K3),"")</f>
        <v/>
      </c>
      <c r="N3" s="62" t="str">
        <f aca="false">IF(AND(E2&lt;E3,E4&lt;E3),D3+0.25*(E4-E2)/(2*E3-E2-E4),"")</f>
        <v/>
      </c>
      <c r="O3" s="6" t="str">
        <f aca="false">IF(N3&lt;&gt;"",INT(N3)&amp;":"&amp;IF(ROUND(60*MOD(D3+0.25*(E4-E2)/(2*E3-E2-E4),1),1)&gt;=10,ROUND(60*MOD(D3+0.25*(E4-E2)/(2*E3-E2-E4),1),1),"0"&amp;ROUND(60*MOD(D3+0.25*(E4-E2)/(2*E3-E2-E4),1),1)),"")</f>
        <v/>
      </c>
      <c r="P3" s="34" t="str">
        <f aca="false">IF(AND(F2&lt;180,F3&gt;180),D3-0.5*(F3-180)/(F3-F2),"")</f>
        <v/>
      </c>
      <c r="Q3" s="6" t="str">
        <f aca="false">IF(P3&lt;&gt;"",INT(P3)&amp;":"&amp;IF(ROUND(60*MOD(P3,1),1)&gt;=10,ROUND(60*MOD(P3,1),1),"0"&amp;ROUND(60*MOD(P3,1),1)),"")</f>
        <v/>
      </c>
      <c r="R3" s="4" t="n">
        <v>180</v>
      </c>
    </row>
    <row r="4" customFormat="false" ht="15" hidden="false" customHeight="false" outlineLevel="0" collapsed="false">
      <c r="A4" s="4" t="n">
        <f aca="false">calc!$E$2</f>
        <v>50</v>
      </c>
      <c r="B4" s="4" t="n">
        <f aca="false">calc!$E$4</f>
        <v>15</v>
      </c>
      <c r="C4" s="0"/>
      <c r="D4" s="34" t="n">
        <f aca="false">calc!$A$4</f>
        <v>1</v>
      </c>
      <c r="E4" s="63" t="n">
        <f aca="false">calc!$G$4</f>
        <v>-23.2365858483119</v>
      </c>
      <c r="F4" s="64" t="n">
        <f aca="false">calc!$I$4</f>
        <v>280.843371510021</v>
      </c>
      <c r="G4" s="48" t="n">
        <f aca="false">calc!$H$4</f>
        <v>54.9334686312223</v>
      </c>
      <c r="H4" s="2" t="str">
        <f aca="false">IF(IF(AND(E4+0.5*calc!$AT$3/60&gt;0,E3+0.5*calc!$AT$2/60&lt;0),TRUE()),INT(D3),"")</f>
        <v/>
      </c>
      <c r="I4" s="59" t="str">
        <f aca="false">IF(IF(AND(E4+0.5*calc!$AT$3/60&gt;0,E3+0.5*calc!$AT$2/60&lt;0),TRUE()),IF(D3=INT(D3),ROUND(-30*(E3+0.5*calc!$AT$2/60)/(-E3+E4),1),ROUND(30-30*(E3+0.5*calc!$AT$2/60)/(-E3+E4),1)),"")</f>
        <v/>
      </c>
      <c r="J4" s="2" t="str">
        <f aca="false">IF(IF(AND(E4+0.5*calc!$AT$3/60&lt;0,E3+0.5*calc!$AT$2/60&gt;0),TRUE()),INT(D3),"")</f>
        <v/>
      </c>
      <c r="K4" s="2" t="str">
        <f aca="false">IF(IF(AND(E4+0.5*calc!$AT$3/60&lt;0,E3+0.5*calc!$AT$2/60&gt;0),TRUE()),IF(D3=INT(D3),ROUND(30*(E3+0.5*calc!$AT$2/60)/(E3-E4),1),ROUND(30+30*(E3+0.5*calc!$AT$2/60)/(E3-E4),1)),"")</f>
        <v/>
      </c>
      <c r="L4" s="4" t="str">
        <f aca="false">IF(H4&lt;&gt;"",H4&amp;":"&amp;IF(I4&gt;=10,I4,"0"&amp;I4),"")</f>
        <v/>
      </c>
      <c r="M4" s="4" t="str">
        <f aca="false">IF(J4&lt;&gt;"",J4&amp;":"&amp;IF(K4&gt;=10,K4,"0"&amp;K4),"")</f>
        <v/>
      </c>
      <c r="N4" s="62" t="str">
        <f aca="false">IF(AND(E3&lt;E4,E5&lt;E4),D4+0.25*(E5-E3)/(2*E4-E3-E5),"")</f>
        <v/>
      </c>
      <c r="O4" s="6" t="str">
        <f aca="false">IF(N4&lt;&gt;"",INT(N4)&amp;":"&amp;IF(ROUND(60*MOD(D4+0.25*(E5-E3)/(2*E4-E3-E5),1),1)&gt;=10,ROUND(60*MOD(D4+0.25*(E5-E3)/(2*E4-E3-E5),1),1),"0"&amp;ROUND(60*MOD(D4+0.25*(E5-E3)/(2*E4-E3-E5),1),1)),"")</f>
        <v/>
      </c>
      <c r="P4" s="34" t="str">
        <f aca="false">IF(AND(F3&lt;180,F4&gt;180),D4-0.5*(F4-180)/(F4-F3),"")</f>
        <v/>
      </c>
      <c r="Q4" s="6" t="str">
        <f aca="false">IF(P4&lt;&gt;"",INT(P4)&amp;":"&amp;IF(ROUND(60*MOD(P4,1),1)&gt;=10,ROUND(60*MOD(P4,1),1),"0"&amp;ROUND(60*MOD(P4,1),1)),"")</f>
        <v/>
      </c>
      <c r="R4" s="4" t="n">
        <v>180</v>
      </c>
    </row>
    <row r="5" customFormat="false" ht="15" hidden="false" customHeight="false" outlineLevel="0" collapsed="false">
      <c r="A5" s="0"/>
      <c r="B5" s="0"/>
      <c r="D5" s="34" t="n">
        <f aca="false">calc!$A$5</f>
        <v>1.5</v>
      </c>
      <c r="E5" s="63" t="n">
        <f aca="false">calc!$G$5</f>
        <v>-27.6299824805601</v>
      </c>
      <c r="F5" s="64" t="n">
        <f aca="false">calc!$I$5</f>
        <v>287.005179702724</v>
      </c>
      <c r="G5" s="48" t="n">
        <f aca="false">calc!$H$5</f>
        <v>55.1630335117394</v>
      </c>
      <c r="H5" s="2" t="str">
        <f aca="false">IF(IF(AND(E5+0.5*calc!$AT$3/60&gt;0,E4+0.5*calc!$AT$2/60&lt;0),TRUE()),INT(D4),"")</f>
        <v/>
      </c>
      <c r="I5" s="59" t="str">
        <f aca="false">IF(IF(AND(E5+0.5*calc!$AT$3/60&gt;0,E4+0.5*calc!$AT$2/60&lt;0),TRUE()),IF(D4=INT(D4),ROUND(-30*(E4+0.5*calc!$AT$2/60)/(-E4+E5),1),ROUND(30-30*(E4+0.5*calc!$AT$2/60)/(-E4+E5),1)),"")</f>
        <v/>
      </c>
      <c r="J5" s="2" t="str">
        <f aca="false">IF(IF(AND(E5+0.5*calc!$AT$3/60&lt;0,E4+0.5*calc!$AT$2/60&gt;0),TRUE()),INT(D4),"")</f>
        <v/>
      </c>
      <c r="K5" s="2" t="str">
        <f aca="false">IF(IF(AND(E5+0.5*calc!$AT$3/60&lt;0,E4+0.5*calc!$AT$2/60&gt;0),TRUE()),IF(D4=INT(D4),ROUND(30*(E4+0.5*calc!$AT$2/60)/(E4-E5),1),ROUND(30+30*(E4+0.5*calc!$AT$2/60)/(E4-E5),1)),"")</f>
        <v/>
      </c>
      <c r="L5" s="4" t="str">
        <f aca="false">IF(H5&lt;&gt;"",H5&amp;":"&amp;IF(I5&gt;=10,I5,"0"&amp;I5),"")</f>
        <v/>
      </c>
      <c r="M5" s="4" t="str">
        <f aca="false">IF(J5&lt;&gt;"",J5&amp;":"&amp;IF(K5&gt;=10,K5,"0"&amp;K5),"")</f>
        <v/>
      </c>
      <c r="N5" s="62" t="str">
        <f aca="false">IF(AND(E4&lt;E5,E6&lt;E5),D5+0.25*(E6-E4)/(2*E5-E4-E6),"")</f>
        <v/>
      </c>
      <c r="O5" s="6" t="str">
        <f aca="false">IF(N5&lt;&gt;"",INT(N5)&amp;":"&amp;IF(ROUND(60*MOD(D5+0.25*(E6-E4)/(2*E5-E4-E6),1),1)&gt;=10,ROUND(60*MOD(D5+0.25*(E6-E4)/(2*E5-E4-E6),1),1),"0"&amp;ROUND(60*MOD(D5+0.25*(E6-E4)/(2*E5-E4-E6),1),1)),"")</f>
        <v/>
      </c>
      <c r="P5" s="34" t="str">
        <f aca="false">IF(AND(F4&lt;180,F5&gt;180),D5-0.5*(F5-180)/(F5-F4),"")</f>
        <v/>
      </c>
      <c r="Q5" s="6" t="str">
        <f aca="false">IF(P5&lt;&gt;"",INT(P5)&amp;":"&amp;IF(ROUND(60*MOD(P5,1),1)&gt;=10,ROUND(60*MOD(P5,1),1),"0"&amp;ROUND(60*MOD(P5,1),1)),"")</f>
        <v/>
      </c>
      <c r="R5" s="4" t="n">
        <v>180</v>
      </c>
    </row>
    <row r="6" customFormat="false" ht="15" hidden="false" customHeight="false" outlineLevel="0" collapsed="false">
      <c r="A6" s="65" t="s">
        <v>84</v>
      </c>
      <c r="D6" s="34" t="n">
        <f aca="false">calc!$A$6</f>
        <v>2</v>
      </c>
      <c r="E6" s="63" t="n">
        <f aca="false">calc!$G$6</f>
        <v>-31.8675576046992</v>
      </c>
      <c r="F6" s="64" t="n">
        <f aca="false">calc!$I$6</f>
        <v>293.547194038714</v>
      </c>
      <c r="G6" s="48" t="n">
        <f aca="false">calc!$H$6</f>
        <v>55.3923781977808</v>
      </c>
      <c r="H6" s="2" t="str">
        <f aca="false">IF(IF(AND(E6+0.5*calc!$AT$3/60&gt;0,E5+0.5*calc!$AT$2/60&lt;0),TRUE()),INT(D5),"")</f>
        <v/>
      </c>
      <c r="I6" s="59" t="str">
        <f aca="false">IF(IF(AND(E6+0.5*calc!$AT$3/60&gt;0,E5+0.5*calc!$AT$2/60&lt;0),TRUE()),IF(D5=INT(D5),ROUND(-30*(E5+0.5*calc!$AT$2/60)/(-E5+E6),1),ROUND(30-30*(E5+0.5*calc!$AT$2/60)/(-E5+E6),1)),"")</f>
        <v/>
      </c>
      <c r="J6" s="2" t="str">
        <f aca="false">IF(IF(AND(E6+0.5*calc!$AT$3/60&lt;0,E5+0.5*calc!$AT$2/60&gt;0),TRUE()),INT(D5),"")</f>
        <v/>
      </c>
      <c r="K6" s="2" t="str">
        <f aca="false">IF(IF(AND(E6+0.5*calc!$AT$3/60&lt;0,E5+0.5*calc!$AT$2/60&gt;0),TRUE()),IF(D5=INT(D5),ROUND(30*(E5+0.5*calc!$AT$2/60)/(E5-E6),1),ROUND(30+30*(E5+0.5*calc!$AT$2/60)/(E5-E6),1)),"")</f>
        <v/>
      </c>
      <c r="L6" s="4" t="str">
        <f aca="false">IF(H6&lt;&gt;"",H6&amp;":"&amp;IF(I6&gt;=10,I6,"0"&amp;I6),"")</f>
        <v/>
      </c>
      <c r="M6" s="4" t="str">
        <f aca="false">IF(J6&lt;&gt;"",J6&amp;":"&amp;IF(K6&gt;=10,K6,"0"&amp;K6),"")</f>
        <v/>
      </c>
      <c r="N6" s="62" t="str">
        <f aca="false">IF(AND(E5&lt;E6,E7&lt;E6),D6+0.25*(E7-E5)/(2*E6-E5-E7),"")</f>
        <v/>
      </c>
      <c r="O6" s="6" t="str">
        <f aca="false">IF(N6&lt;&gt;"",INT(N6)&amp;":"&amp;IF(ROUND(60*MOD(D6+0.25*(E7-E5)/(2*E6-E5-E7),1),1)&gt;=10,ROUND(60*MOD(D6+0.25*(E7-E5)/(2*E6-E5-E7),1),1),"0"&amp;ROUND(60*MOD(D6+0.25*(E7-E5)/(2*E6-E5-E7),1),1)),"")</f>
        <v/>
      </c>
      <c r="P6" s="34" t="str">
        <f aca="false">IF(AND(F5&lt;180,F6&gt;180),D6-0.5*(F6-180)/(F6-F5),"")</f>
        <v/>
      </c>
      <c r="Q6" s="6" t="str">
        <f aca="false">IF(P6&lt;&gt;"",INT(P6)&amp;":"&amp;IF(ROUND(60*MOD(P6,1),1)&gt;=10,ROUND(60*MOD(P6,1),1),"0"&amp;ROUND(60*MOD(P6,1),1)),"")</f>
        <v/>
      </c>
      <c r="R6" s="4" t="n">
        <v>180</v>
      </c>
    </row>
    <row r="7" customFormat="false" ht="16.15" hidden="false" customHeight="false" outlineLevel="0" collapsed="false">
      <c r="A7" s="66" t="s">
        <v>85</v>
      </c>
      <c r="D7" s="34" t="n">
        <f aca="false">calc!$A$7</f>
        <v>2.5</v>
      </c>
      <c r="E7" s="63" t="n">
        <f aca="false">calc!$G$7</f>
        <v>-35.8797752818986</v>
      </c>
      <c r="F7" s="64" t="n">
        <f aca="false">calc!$I$7</f>
        <v>300.577914315158</v>
      </c>
      <c r="G7" s="48" t="n">
        <f aca="false">calc!$H$7</f>
        <v>55.6214980774267</v>
      </c>
      <c r="H7" s="2" t="str">
        <f aca="false">IF(IF(AND(E7+0.5*calc!$AT$3/60&gt;0,E6+0.5*calc!$AT$2/60&lt;0),TRUE()),INT(D6),"")</f>
        <v/>
      </c>
      <c r="I7" s="59" t="str">
        <f aca="false">IF(IF(AND(E7+0.5*calc!$AT$3/60&gt;0,E6+0.5*calc!$AT$2/60&lt;0),TRUE()),IF(D6=INT(D6),ROUND(-30*(E6+0.5*calc!$AT$2/60)/(-E6+E7),1),ROUND(30-30*(E6+0.5*calc!$AT$2/60)/(-E6+E7),1)),"")</f>
        <v/>
      </c>
      <c r="J7" s="2" t="str">
        <f aca="false">IF(IF(AND(E7+0.5*calc!$AT$3/60&lt;0,E6+0.5*calc!$AT$2/60&gt;0),TRUE()),INT(D6),"")</f>
        <v/>
      </c>
      <c r="K7" s="2" t="str">
        <f aca="false">IF(IF(AND(E7+0.5*calc!$AT$3/60&lt;0,E6+0.5*calc!$AT$2/60&gt;0),TRUE()),IF(D6=INT(D6),ROUND(30*(E6+0.5*calc!$AT$2/60)/(E6-E7),1),ROUND(30+30*(E6+0.5*calc!$AT$2/60)/(E6-E7),1)),"")</f>
        <v/>
      </c>
      <c r="L7" s="4" t="str">
        <f aca="false">IF(H7&lt;&gt;"",H7&amp;":"&amp;IF(I7&gt;=10,I7,"0"&amp;I7),"")</f>
        <v/>
      </c>
      <c r="M7" s="4" t="str">
        <f aca="false">IF(J7&lt;&gt;"",J7&amp;":"&amp;IF(K7&gt;=10,K7,"0"&amp;K7),"")</f>
        <v/>
      </c>
      <c r="N7" s="62" t="str">
        <f aca="false">IF(AND(E6&lt;E7,E8&lt;E7),D7+0.25*(E8-E6)/(2*E7-E6-E8),"")</f>
        <v/>
      </c>
      <c r="O7" s="6" t="str">
        <f aca="false">IF(N7&lt;&gt;"",INT(N7)&amp;":"&amp;IF(ROUND(60*MOD(D7+0.25*(E8-E6)/(2*E7-E6-E8),1),1)&gt;=10,ROUND(60*MOD(D7+0.25*(E8-E6)/(2*E7-E6-E8),1),1),"0"&amp;ROUND(60*MOD(D7+0.25*(E8-E6)/(2*E7-E6-E8),1),1)),"")</f>
        <v/>
      </c>
      <c r="P7" s="34" t="str">
        <f aca="false">IF(AND(F6&lt;180,F7&gt;180),D7-0.5*(F7-180)/(F7-F6),"")</f>
        <v/>
      </c>
      <c r="Q7" s="6" t="str">
        <f aca="false">IF(P7&lt;&gt;"",INT(P7)&amp;":"&amp;IF(ROUND(60*MOD(P7,1),1)&gt;=10,ROUND(60*MOD(P7,1),1),"0"&amp;ROUND(60*MOD(P7,1),1)),"")</f>
        <v/>
      </c>
      <c r="R7" s="4" t="n">
        <v>180</v>
      </c>
    </row>
    <row r="8" customFormat="false" ht="15" hidden="false" customHeight="false" outlineLevel="0" collapsed="false">
      <c r="D8" s="34" t="n">
        <f aca="false">calc!$A$8</f>
        <v>3</v>
      </c>
      <c r="E8" s="63" t="n">
        <f aca="false">calc!$G$8</f>
        <v>-39.5843916160344</v>
      </c>
      <c r="F8" s="64" t="n">
        <f aca="false">calc!$I$8</f>
        <v>308.207761462934</v>
      </c>
      <c r="G8" s="48" t="n">
        <f aca="false">calc!$H$8</f>
        <v>55.8503885725108</v>
      </c>
      <c r="H8" s="2" t="str">
        <f aca="false">IF(IF(AND(E8+0.5*calc!$AT$3/60&gt;0,E7+0.5*calc!$AT$2/60&lt;0),TRUE()),INT(D7),"")</f>
        <v/>
      </c>
      <c r="I8" s="59" t="str">
        <f aca="false">IF(IF(AND(E8+0.5*calc!$AT$3/60&gt;0,E7+0.5*calc!$AT$2/60&lt;0),TRUE()),IF(D7=INT(D7),ROUND(-30*(E7+0.5*calc!$AT$2/60)/(-E7+E8),1),ROUND(30-30*(E7+0.5*calc!$AT$2/60)/(-E7+E8),1)),"")</f>
        <v/>
      </c>
      <c r="J8" s="2" t="str">
        <f aca="false">IF(IF(AND(E8+0.5*calc!$AT$3/60&lt;0,E7+0.5*calc!$AT$2/60&gt;0),TRUE()),INT(D7),"")</f>
        <v/>
      </c>
      <c r="K8" s="2" t="str">
        <f aca="false">IF(IF(AND(E8+0.5*calc!$AT$3/60&lt;0,E7+0.5*calc!$AT$2/60&gt;0),TRUE()),IF(D7=INT(D7),ROUND(30*(E7+0.5*calc!$AT$2/60)/(E7-E8),1),ROUND(30+30*(E7+0.5*calc!$AT$2/60)/(E7-E8),1)),"")</f>
        <v/>
      </c>
      <c r="L8" s="4" t="str">
        <f aca="false">IF(H8&lt;&gt;"",H8&amp;":"&amp;IF(I8&gt;=10,I8,"0"&amp;I8),"")</f>
        <v/>
      </c>
      <c r="M8" s="4" t="str">
        <f aca="false">IF(J8&lt;&gt;"",J8&amp;":"&amp;IF(K8&gt;=10,K8,"0"&amp;K8),"")</f>
        <v/>
      </c>
      <c r="N8" s="62" t="str">
        <f aca="false">IF(AND(E7&lt;E8,E9&lt;E8),D8+0.25*(E9-E7)/(2*E8-E7-E9),"")</f>
        <v/>
      </c>
      <c r="O8" s="6" t="str">
        <f aca="false">IF(N8&lt;&gt;"",INT(N8)&amp;":"&amp;IF(ROUND(60*MOD(D8+0.25*(E9-E7)/(2*E8-E7-E9),1),1)&gt;=10,ROUND(60*MOD(D8+0.25*(E9-E7)/(2*E8-E7-E9),1),1),"0"&amp;ROUND(60*MOD(D8+0.25*(E9-E7)/(2*E8-E7-E9),1),1)),"")</f>
        <v/>
      </c>
      <c r="P8" s="34" t="str">
        <f aca="false">IF(AND(F7&lt;180,F8&gt;180),D8-0.5*(F8-180)/(F8-F7),"")</f>
        <v/>
      </c>
      <c r="Q8" s="6" t="str">
        <f aca="false">IF(P8&lt;&gt;"",INT(P8)&amp;":"&amp;IF(ROUND(60*MOD(P8,1),1)&gt;=10,ROUND(60*MOD(P8,1),1),"0"&amp;ROUND(60*MOD(P8,1),1)),"")</f>
        <v/>
      </c>
      <c r="R8" s="4" t="n">
        <v>180</v>
      </c>
    </row>
    <row r="9" customFormat="false" ht="15" hidden="false" customHeight="false" outlineLevel="0" collapsed="false">
      <c r="D9" s="34" t="n">
        <f aca="false">calc!$A$9</f>
        <v>3.5</v>
      </c>
      <c r="E9" s="63" t="n">
        <f aca="false">calc!$G$9</f>
        <v>-42.8844933879603</v>
      </c>
      <c r="F9" s="64" t="n">
        <f aca="false">calc!$I$9</f>
        <v>316.535573601218</v>
      </c>
      <c r="G9" s="48" t="n">
        <f aca="false">calc!$H$9</f>
        <v>56.0790451078856</v>
      </c>
      <c r="H9" s="2" t="str">
        <f aca="false">IF(IF(AND(E9+0.5*calc!$AT$3/60&gt;0,E8+0.5*calc!$AT$2/60&lt;0),TRUE()),INT(D8),"")</f>
        <v/>
      </c>
      <c r="I9" s="59" t="str">
        <f aca="false">IF(IF(AND(E9+0.5*calc!$AT$3/60&gt;0,E8+0.5*calc!$AT$2/60&lt;0),TRUE()),IF(D8=INT(D8),ROUND(-30*(E8+0.5*calc!$AT$2/60)/(-E8+E9),1),ROUND(30-30*(E8+0.5*calc!$AT$2/60)/(-E8+E9),1)),"")</f>
        <v/>
      </c>
      <c r="J9" s="2" t="str">
        <f aca="false">IF(IF(AND(E9+0.5*calc!$AT$3/60&lt;0,E8+0.5*calc!$AT$2/60&gt;0),TRUE()),INT(D8),"")</f>
        <v/>
      </c>
      <c r="K9" s="2" t="str">
        <f aca="false">IF(IF(AND(E9+0.5*calc!$AT$3/60&lt;0,E8+0.5*calc!$AT$2/60&gt;0),TRUE()),IF(D8=INT(D8),ROUND(30*(E8+0.5*calc!$AT$2/60)/(E8-E9),1),ROUND(30+30*(E8+0.5*calc!$AT$2/60)/(E8-E9),1)),"")</f>
        <v/>
      </c>
      <c r="L9" s="4" t="str">
        <f aca="false">IF(H9&lt;&gt;"",H9&amp;":"&amp;IF(I9&gt;=10,I9,"0"&amp;I9),"")</f>
        <v/>
      </c>
      <c r="M9" s="4" t="str">
        <f aca="false">IF(J9&lt;&gt;"",J9&amp;":"&amp;IF(K9&gt;=10,K9,"0"&amp;K9),"")</f>
        <v/>
      </c>
      <c r="N9" s="62" t="str">
        <f aca="false">IF(AND(E8&lt;E9,E10&lt;E9),D9+0.25*(E10-E8)/(2*E9-E8-E10),"")</f>
        <v/>
      </c>
      <c r="O9" s="6" t="str">
        <f aca="false">IF(N9&lt;&gt;"",INT(N9)&amp;":"&amp;IF(ROUND(60*MOD(D9+0.25*(E10-E8)/(2*E9-E8-E10),1),1)&gt;=10,ROUND(60*MOD(D9+0.25*(E10-E8)/(2*E9-E8-E10),1),1),"0"&amp;ROUND(60*MOD(D9+0.25*(E10-E8)/(2*E9-E8-E10),1),1)),"")</f>
        <v/>
      </c>
      <c r="P9" s="34" t="str">
        <f aca="false">IF(AND(F8&lt;180,F9&gt;180),D9-0.5*(F9-180)/(F9-F8),"")</f>
        <v/>
      </c>
      <c r="Q9" s="6" t="str">
        <f aca="false">IF(P9&lt;&gt;"",INT(P9)&amp;":"&amp;IF(ROUND(60*MOD(P9,1),1)&gt;=10,ROUND(60*MOD(P9,1),1),"0"&amp;ROUND(60*MOD(P9,1),1)),"")</f>
        <v/>
      </c>
      <c r="R9" s="4" t="n">
        <v>180</v>
      </c>
    </row>
    <row r="10" customFormat="false" ht="15" hidden="false" customHeight="false" outlineLevel="0" collapsed="false">
      <c r="D10" s="34" t="n">
        <f aca="false">calc!$A$10</f>
        <v>4</v>
      </c>
      <c r="E10" s="63" t="n">
        <f aca="false">calc!$G$10</f>
        <v>-45.6692546550902</v>
      </c>
      <c r="F10" s="64" t="n">
        <f aca="false">calc!$I$10</f>
        <v>325.624108821059</v>
      </c>
      <c r="G10" s="48" t="n">
        <f aca="false">calc!$H$10</f>
        <v>56.3074631268704</v>
      </c>
      <c r="H10" s="2" t="str">
        <f aca="false">IF(IF(AND(E10+0.5*calc!$AT$3/60&gt;0,E9+0.5*calc!$AT$2/60&lt;0),TRUE()),INT(D9),"")</f>
        <v/>
      </c>
      <c r="I10" s="59" t="str">
        <f aca="false">IF(IF(AND(E10+0.5*calc!$AT$3/60&gt;0,E9+0.5*calc!$AT$2/60&lt;0),TRUE()),IF(D9=INT(D9),ROUND(-30*(E9+0.5*calc!$AT$2/60)/(-E9+E10),1),ROUND(30-30*(E9+0.5*calc!$AT$2/60)/(-E9+E10),1)),"")</f>
        <v/>
      </c>
      <c r="J10" s="2" t="str">
        <f aca="false">IF(IF(AND(E10+0.5*calc!$AT$3/60&lt;0,E9+0.5*calc!$AT$2/60&gt;0),TRUE()),INT(D9),"")</f>
        <v/>
      </c>
      <c r="K10" s="2" t="str">
        <f aca="false">IF(IF(AND(E10+0.5*calc!$AT$3/60&lt;0,E9+0.5*calc!$AT$2/60&gt;0),TRUE()),IF(D9=INT(D9),ROUND(30*(E9+0.5*calc!$AT$2/60)/(E9-E10),1),ROUND(30+30*(E9+0.5*calc!$AT$2/60)/(E9-E10),1)),"")</f>
        <v/>
      </c>
      <c r="L10" s="4" t="str">
        <f aca="false">IF(H10&lt;&gt;"",H10&amp;":"&amp;IF(I10&gt;=10,I10,"0"&amp;I10),"")</f>
        <v/>
      </c>
      <c r="M10" s="4" t="str">
        <f aca="false">IF(J10&lt;&gt;"",J10&amp;":"&amp;IF(K10&gt;=10,K10,"0"&amp;K10),"")</f>
        <v/>
      </c>
      <c r="N10" s="62" t="str">
        <f aca="false">IF(AND(E9&lt;E10,E11&lt;E10),D10+0.25*(E11-E9)/(2*E10-E9-E11),"")</f>
        <v/>
      </c>
      <c r="O10" s="6" t="str">
        <f aca="false">IF(N10&lt;&gt;"",INT(N10)&amp;":"&amp;IF(ROUND(60*MOD(D10+0.25*(E11-E9)/(2*E10-E9-E11),1),1)&gt;=10,ROUND(60*MOD(D10+0.25*(E11-E9)/(2*E10-E9-E11),1),1),"0"&amp;ROUND(60*MOD(D10+0.25*(E11-E9)/(2*E10-E9-E11),1),1)),"")</f>
        <v/>
      </c>
      <c r="P10" s="34" t="str">
        <f aca="false">IF(AND(F9&lt;180,F10&gt;180),D10-0.5*(F10-180)/(F10-F9),"")</f>
        <v/>
      </c>
      <c r="Q10" s="6" t="str">
        <f aca="false">IF(P10&lt;&gt;"",INT(P10)&amp;":"&amp;IF(ROUND(60*MOD(P10,1),1)&gt;=10,ROUND(60*MOD(P10,1),1),"0"&amp;ROUND(60*MOD(P10,1),1)),"")</f>
        <v/>
      </c>
      <c r="R10" s="4" t="n">
        <v>180</v>
      </c>
    </row>
    <row r="11" customFormat="false" ht="15" hidden="false" customHeight="false" outlineLevel="0" collapsed="false">
      <c r="D11" s="34" t="n">
        <f aca="false">calc!$A$11</f>
        <v>4.5</v>
      </c>
      <c r="E11" s="63" t="n">
        <f aca="false">calc!$G$11</f>
        <v>-47.8199128277983</v>
      </c>
      <c r="F11" s="64" t="n">
        <f aca="false">calc!$I$11</f>
        <v>335.464559294186</v>
      </c>
      <c r="G11" s="48" t="n">
        <f aca="false">calc!$H$11</f>
        <v>56.5356381064685</v>
      </c>
      <c r="H11" s="2" t="str">
        <f aca="false">IF(IF(AND(E11+0.5*calc!$AT$3/60&gt;0,E10+0.5*calc!$AT$2/60&lt;0),TRUE()),INT(D10),"")</f>
        <v/>
      </c>
      <c r="I11" s="59" t="str">
        <f aca="false">IF(IF(AND(E11+0.5*calc!$AT$3/60&gt;0,E10+0.5*calc!$AT$2/60&lt;0),TRUE()),IF(D10=INT(D10),ROUND(-30*(E10+0.5*calc!$AT$2/60)/(-E10+E11),1),ROUND(30-30*(E10+0.5*calc!$AT$2/60)/(-E10+E11),1)),"")</f>
        <v/>
      </c>
      <c r="J11" s="2" t="str">
        <f aca="false">IF(IF(AND(E11+0.5*calc!$AT$3/60&lt;0,E10+0.5*calc!$AT$2/60&gt;0),TRUE()),INT(D10),"")</f>
        <v/>
      </c>
      <c r="K11" s="2" t="str">
        <f aca="false">IF(IF(AND(E11+0.5*calc!$AT$3/60&lt;0,E10+0.5*calc!$AT$2/60&gt;0),TRUE()),IF(D10=INT(D10),ROUND(30*(E10+0.5*calc!$AT$2/60)/(E10-E11),1),ROUND(30+30*(E10+0.5*calc!$AT$2/60)/(E10-E11),1)),"")</f>
        <v/>
      </c>
      <c r="L11" s="4" t="str">
        <f aca="false">IF(H11&lt;&gt;"",H11&amp;":"&amp;IF(I11&gt;=10,I11,"0"&amp;I11),"")</f>
        <v/>
      </c>
      <c r="M11" s="4" t="str">
        <f aca="false">IF(J11&lt;&gt;"",J11&amp;":"&amp;IF(K11&gt;=10,K11,"0"&amp;K11),"")</f>
        <v/>
      </c>
      <c r="N11" s="62" t="str">
        <f aca="false">IF(AND(E10&lt;E11,E12&lt;E11),D11+0.25*(E12-E10)/(2*E11-E10-E12),"")</f>
        <v/>
      </c>
      <c r="O11" s="6" t="str">
        <f aca="false">IF(N11&lt;&gt;"",INT(N11)&amp;":"&amp;IF(ROUND(60*MOD(D11+0.25*(E12-E10)/(2*E11-E10-E12),1),1)&gt;=10,ROUND(60*MOD(D11+0.25*(E12-E10)/(2*E11-E10-E12),1),1),"0"&amp;ROUND(60*MOD(D11+0.25*(E12-E10)/(2*E11-E10-E12),1),1)),"")</f>
        <v/>
      </c>
      <c r="P11" s="34" t="str">
        <f aca="false">IF(AND(F10&lt;180,F11&gt;180),D11-0.5*(F11-180)/(F11-F10),"")</f>
        <v/>
      </c>
      <c r="Q11" s="6" t="str">
        <f aca="false">IF(P11&lt;&gt;"",INT(P11)&amp;":"&amp;IF(ROUND(60*MOD(P11,1),1)&gt;=10,ROUND(60*MOD(P11,1),1),"0"&amp;ROUND(60*MOD(P11,1),1)),"")</f>
        <v/>
      </c>
      <c r="R11" s="4" t="n">
        <v>180</v>
      </c>
    </row>
    <row r="12" customFormat="false" ht="15" hidden="false" customHeight="false" outlineLevel="0" collapsed="false">
      <c r="D12" s="34" t="n">
        <f aca="false">calc!$A$12</f>
        <v>5</v>
      </c>
      <c r="E12" s="63" t="n">
        <f aca="false">calc!$G$12</f>
        <v>-49.2232523545706</v>
      </c>
      <c r="F12" s="64" t="n">
        <f aca="false">calc!$I$12</f>
        <v>345.939613412677</v>
      </c>
      <c r="G12" s="48" t="n">
        <f aca="false">calc!$H$12</f>
        <v>56.7635655268362</v>
      </c>
      <c r="H12" s="2" t="str">
        <f aca="false">IF(IF(AND(E12+0.5*calc!$AT$3/60&gt;0,E11+0.5*calc!$AT$2/60&lt;0),TRUE()),INT(D11),"")</f>
        <v/>
      </c>
      <c r="I12" s="59" t="str">
        <f aca="false">IF(IF(AND(E12+0.5*calc!$AT$3/60&gt;0,E11+0.5*calc!$AT$2/60&lt;0),TRUE()),IF(D11=INT(D11),ROUND(-30*(E11+0.5*calc!$AT$2/60)/(-E11+E12),1),ROUND(30-30*(E11+0.5*calc!$AT$2/60)/(-E11+E12),1)),"")</f>
        <v/>
      </c>
      <c r="J12" s="2" t="str">
        <f aca="false">IF(IF(AND(E12+0.5*calc!$AT$3/60&lt;0,E11+0.5*calc!$AT$2/60&gt;0),TRUE()),INT(D11),"")</f>
        <v/>
      </c>
      <c r="K12" s="2" t="str">
        <f aca="false">IF(IF(AND(E12+0.5*calc!$AT$3/60&lt;0,E11+0.5*calc!$AT$2/60&gt;0),TRUE()),IF(D11=INT(D11),ROUND(30*(E11+0.5*calc!$AT$2/60)/(E11-E12),1),ROUND(30+30*(E11+0.5*calc!$AT$2/60)/(E11-E12),1)),"")</f>
        <v/>
      </c>
      <c r="L12" s="4" t="str">
        <f aca="false">IF(H12&lt;&gt;"",H12&amp;":"&amp;IF(I12&gt;=10,I12,"0"&amp;I12),"")</f>
        <v/>
      </c>
      <c r="M12" s="4" t="str">
        <f aca="false">IF(J12&lt;&gt;"",J12&amp;":"&amp;IF(K12&gt;=10,K12,"0"&amp;K12),"")</f>
        <v/>
      </c>
      <c r="N12" s="62" t="str">
        <f aca="false">IF(AND(E11&lt;E12,E13&lt;E12),D12+0.25*(E13-E11)/(2*E12-E11-E13),"")</f>
        <v/>
      </c>
      <c r="O12" s="6" t="str">
        <f aca="false">IF(N12&lt;&gt;"",INT(N12)&amp;":"&amp;IF(ROUND(60*MOD(D12+0.25*(E13-E11)/(2*E12-E11-E13),1),1)&gt;=10,ROUND(60*MOD(D12+0.25*(E13-E11)/(2*E12-E11-E13),1),1),"0"&amp;ROUND(60*MOD(D12+0.25*(E13-E11)/(2*E12-E11-E13),1),1)),"")</f>
        <v/>
      </c>
      <c r="P12" s="34" t="str">
        <f aca="false">IF(AND(F11&lt;180,F12&gt;180),D12-0.5*(F12-180)/(F12-F11),"")</f>
        <v/>
      </c>
      <c r="Q12" s="6" t="str">
        <f aca="false">IF(P12&lt;&gt;"",INT(P12)&amp;":"&amp;IF(ROUND(60*MOD(P12,1),1)&gt;=10,ROUND(60*MOD(P12,1),1),"0"&amp;ROUND(60*MOD(P12,1),1)),"")</f>
        <v/>
      </c>
      <c r="R12" s="4" t="n">
        <v>180</v>
      </c>
    </row>
    <row r="13" customFormat="false" ht="15" hidden="false" customHeight="false" outlineLevel="0" collapsed="false">
      <c r="D13" s="34" t="n">
        <f aca="false">calc!$A$13</f>
        <v>5.5</v>
      </c>
      <c r="E13" s="63" t="n">
        <f aca="false">calc!$G$13</f>
        <v>-49.7919752075418</v>
      </c>
      <c r="F13" s="64" t="n">
        <f aca="false">calc!$I$13</f>
        <v>356.807849136116</v>
      </c>
      <c r="G13" s="48" t="n">
        <f aca="false">calc!$H$13</f>
        <v>56.9912408865259</v>
      </c>
      <c r="H13" s="2" t="str">
        <f aca="false">IF(IF(AND(E13+0.5*calc!$AT$3/60&gt;0,E12+0.5*calc!$AT$2/60&lt;0),TRUE()),INT(D12),"")</f>
        <v/>
      </c>
      <c r="I13" s="59" t="str">
        <f aca="false">IF(IF(AND(E13+0.5*calc!$AT$3/60&gt;0,E12+0.5*calc!$AT$2/60&lt;0),TRUE()),IF(D12=INT(D12),ROUND(-30*(E12+0.5*calc!$AT$2/60)/(-E12+E13),1),ROUND(30-30*(E12+0.5*calc!$AT$2/60)/(-E12+E13),1)),"")</f>
        <v/>
      </c>
      <c r="J13" s="2" t="str">
        <f aca="false">IF(IF(AND(E13+0.5*calc!$AT$3/60&lt;0,E12+0.5*calc!$AT$2/60&gt;0),TRUE()),INT(D12),"")</f>
        <v/>
      </c>
      <c r="K13" s="2" t="str">
        <f aca="false">IF(IF(AND(E13+0.5*calc!$AT$3/60&lt;0,E12+0.5*calc!$AT$2/60&gt;0),TRUE()),IF(D12=INT(D12),ROUND(30*(E12+0.5*calc!$AT$2/60)/(E12-E13),1),ROUND(30+30*(E12+0.5*calc!$AT$2/60)/(E12-E13),1)),"")</f>
        <v/>
      </c>
      <c r="L13" s="4" t="str">
        <f aca="false">IF(H13&lt;&gt;"",H13&amp;":"&amp;IF(I13&gt;=10,I13,"0"&amp;I13),"")</f>
        <v/>
      </c>
      <c r="M13" s="4" t="str">
        <f aca="false">IF(J13&lt;&gt;"",J13&amp;":"&amp;IF(K13&gt;=10,K13,"0"&amp;K13),"")</f>
        <v/>
      </c>
      <c r="N13" s="62" t="str">
        <f aca="false">IF(AND(E12&lt;E13,E14&lt;E13),D13+0.25*(E14-E12)/(2*E13-E12-E14),"")</f>
        <v/>
      </c>
      <c r="O13" s="6" t="str">
        <f aca="false">IF(N13&lt;&gt;"",INT(N13)&amp;":"&amp;IF(ROUND(60*MOD(D13+0.25*(E14-E12)/(2*E13-E12-E14),1),1)&gt;=10,ROUND(60*MOD(D13+0.25*(E14-E12)/(2*E13-E12-E14),1),1),"0"&amp;ROUND(60*MOD(D13+0.25*(E14-E12)/(2*E13-E12-E14),1),1)),"")</f>
        <v/>
      </c>
      <c r="P13" s="34" t="str">
        <f aca="false">IF(AND(F12&lt;180,F13&gt;180),D13-0.5*(F13-180)/(F13-F12),"")</f>
        <v/>
      </c>
      <c r="Q13" s="6" t="str">
        <f aca="false">IF(P13&lt;&gt;"",INT(P13)&amp;":"&amp;IF(ROUND(60*MOD(P13,1),1)&gt;=10,ROUND(60*MOD(P13,1),1),"0"&amp;ROUND(60*MOD(P13,1),1)),"")</f>
        <v/>
      </c>
      <c r="R13" s="4" t="n">
        <v>180</v>
      </c>
    </row>
    <row r="14" customFormat="false" ht="15" hidden="false" customHeight="false" outlineLevel="0" collapsed="false">
      <c r="D14" s="34" t="n">
        <f aca="false">calc!$A$14</f>
        <v>6</v>
      </c>
      <c r="E14" s="63" t="n">
        <f aca="false">calc!$G$14</f>
        <v>-49.4856390813864</v>
      </c>
      <c r="F14" s="64" t="n">
        <f aca="false">calc!$I$14</f>
        <v>7.7345357378413</v>
      </c>
      <c r="G14" s="48" t="n">
        <f aca="false">calc!$H$14</f>
        <v>57.2186597178118</v>
      </c>
      <c r="H14" s="2" t="str">
        <f aca="false">IF(IF(AND(E14+0.5*calc!$AT$3/60&gt;0,E13+0.5*calc!$AT$2/60&lt;0),TRUE()),INT(D13),"")</f>
        <v/>
      </c>
      <c r="I14" s="59" t="str">
        <f aca="false">IF(IF(AND(E14+0.5*calc!$AT$3/60&gt;0,E13+0.5*calc!$AT$2/60&lt;0),TRUE()),IF(D13=INT(D13),ROUND(-30*(E13+0.5*calc!$AT$2/60)/(-E13+E14),1),ROUND(30-30*(E13+0.5*calc!$AT$2/60)/(-E13+E14),1)),"")</f>
        <v/>
      </c>
      <c r="J14" s="2" t="str">
        <f aca="false">IF(IF(AND(E14+0.5*calc!$AT$3/60&lt;0,E13+0.5*calc!$AT$2/60&gt;0),TRUE()),INT(D13),"")</f>
        <v/>
      </c>
      <c r="K14" s="2" t="str">
        <f aca="false">IF(IF(AND(E14+0.5*calc!$AT$3/60&lt;0,E13+0.5*calc!$AT$2/60&gt;0),TRUE()),IF(D13=INT(D13),ROUND(30*(E13+0.5*calc!$AT$2/60)/(E13-E14),1),ROUND(30+30*(E13+0.5*calc!$AT$2/60)/(E13-E14),1)),"")</f>
        <v/>
      </c>
      <c r="L14" s="4" t="str">
        <f aca="false">IF(H14&lt;&gt;"",H14&amp;":"&amp;IF(I14&gt;=10,I14,"0"&amp;I14),"")</f>
        <v/>
      </c>
      <c r="M14" s="4" t="str">
        <f aca="false">IF(J14&lt;&gt;"",J14&amp;":"&amp;IF(K14&gt;=10,K14,"0"&amp;K14),"")</f>
        <v/>
      </c>
      <c r="N14" s="62" t="str">
        <f aca="false">IF(AND(E13&lt;E14,E15&lt;E14),D14+0.25*(E15-E13)/(2*E14-E13-E15),"")</f>
        <v/>
      </c>
      <c r="O14" s="6" t="str">
        <f aca="false">IF(N14&lt;&gt;"",INT(N14)&amp;":"&amp;IF(ROUND(60*MOD(D14+0.25*(E15-E13)/(2*E14-E13-E15),1),1)&gt;=10,ROUND(60*MOD(D14+0.25*(E15-E13)/(2*E14-E13-E15),1),1),"0"&amp;ROUND(60*MOD(D14+0.25*(E15-E13)/(2*E14-E13-E15),1),1)),"")</f>
        <v/>
      </c>
      <c r="P14" s="34" t="str">
        <f aca="false">IF(AND(F13&lt;180,F14&gt;180),D14-0.5*(F14-180)/(F14-F13),"")</f>
        <v/>
      </c>
      <c r="Q14" s="6" t="str">
        <f aca="false">IF(P14&lt;&gt;"",INT(P14)&amp;":"&amp;IF(ROUND(60*MOD(P14,1),1)&gt;=10,ROUND(60*MOD(P14,1),1),"0"&amp;ROUND(60*MOD(P14,1),1)),"")</f>
        <v/>
      </c>
      <c r="R14" s="4" t="n">
        <v>180</v>
      </c>
    </row>
    <row r="15" customFormat="false" ht="15" hidden="false" customHeight="false" outlineLevel="0" collapsed="false">
      <c r="D15" s="34" t="n">
        <f aca="false">calc!$A$15</f>
        <v>6.5</v>
      </c>
      <c r="E15" s="63" t="n">
        <f aca="false">calc!$G$15</f>
        <v>-48.3217692166393</v>
      </c>
      <c r="F15" s="64" t="n">
        <f aca="false">calc!$I$15</f>
        <v>18.3689766858071</v>
      </c>
      <c r="G15" s="48" t="n">
        <f aca="false">calc!$H$15</f>
        <v>57.4458175561189</v>
      </c>
      <c r="H15" s="2" t="str">
        <f aca="false">IF(IF(AND(E15+0.5*calc!$AT$3/60&gt;0,E14+0.5*calc!$AT$2/60&lt;0),TRUE()),INT(D14),"")</f>
        <v/>
      </c>
      <c r="I15" s="59" t="str">
        <f aca="false">IF(IF(AND(E15+0.5*calc!$AT$3/60&gt;0,E14+0.5*calc!$AT$2/60&lt;0),TRUE()),IF(D14=INT(D14),ROUND(-30*(E14+0.5*calc!$AT$2/60)/(-E14+E15),1),ROUND(30-30*(E14+0.5*calc!$AT$2/60)/(-E14+E15),1)),"")</f>
        <v/>
      </c>
      <c r="J15" s="2" t="str">
        <f aca="false">IF(IF(AND(E15+0.5*calc!$AT$3/60&lt;0,E14+0.5*calc!$AT$2/60&gt;0),TRUE()),INT(D14),"")</f>
        <v/>
      </c>
      <c r="K15" s="2" t="str">
        <f aca="false">IF(IF(AND(E15+0.5*calc!$AT$3/60&lt;0,E14+0.5*calc!$AT$2/60&gt;0),TRUE()),IF(D14=INT(D14),ROUND(30*(E14+0.5*calc!$AT$2/60)/(E14-E15),1),ROUND(30+30*(E14+0.5*calc!$AT$2/60)/(E14-E15),1)),"")</f>
        <v/>
      </c>
      <c r="L15" s="4" t="str">
        <f aca="false">IF(H15&lt;&gt;"",H15&amp;":"&amp;IF(I15&gt;=10,I15,"0"&amp;I15),"")</f>
        <v/>
      </c>
      <c r="M15" s="4" t="str">
        <f aca="false">IF(J15&lt;&gt;"",J15&amp;":"&amp;IF(K15&gt;=10,K15,"0"&amp;K15),"")</f>
        <v/>
      </c>
      <c r="N15" s="62" t="str">
        <f aca="false">IF(AND(E14&lt;E15,E16&lt;E15),D15+0.25*(E16-E14)/(2*E15-E14-E16),"")</f>
        <v/>
      </c>
      <c r="O15" s="6" t="str">
        <f aca="false">IF(N15&lt;&gt;"",INT(N15)&amp;":"&amp;IF(ROUND(60*MOD(D15+0.25*(E16-E14)/(2*E15-E14-E16),1),1)&gt;=10,ROUND(60*MOD(D15+0.25*(E16-E14)/(2*E15-E14-E16),1),1),"0"&amp;ROUND(60*MOD(D15+0.25*(E16-E14)/(2*E15-E14-E16),1),1)),"")</f>
        <v/>
      </c>
      <c r="P15" s="34" t="str">
        <f aca="false">IF(AND(F14&lt;180,F15&gt;180),D15-0.5*(F15-180)/(F15-F14),"")</f>
        <v/>
      </c>
      <c r="Q15" s="6" t="str">
        <f aca="false">IF(P15&lt;&gt;"",INT(P15)&amp;":"&amp;IF(ROUND(60*MOD(P15,1),1)&gt;=10,ROUND(60*MOD(P15,1),1),"0"&amp;ROUND(60*MOD(P15,1),1)),"")</f>
        <v/>
      </c>
      <c r="R15" s="4" t="n">
        <v>180</v>
      </c>
    </row>
    <row r="16" customFormat="false" ht="15" hidden="false" customHeight="false" outlineLevel="0" collapsed="false">
      <c r="D16" s="34" t="n">
        <f aca="false">calc!$A$16</f>
        <v>7</v>
      </c>
      <c r="E16" s="63" t="n">
        <f aca="false">calc!$G$16</f>
        <v>-46.3704535609855</v>
      </c>
      <c r="F16" s="64" t="n">
        <f aca="false">calc!$I$16</f>
        <v>28.4306690831734</v>
      </c>
      <c r="G16" s="48" t="n">
        <f aca="false">calc!$H$16</f>
        <v>57.6727099553079</v>
      </c>
      <c r="H16" s="2" t="str">
        <f aca="false">IF(IF(AND(E16+0.5*calc!$AT$3/60&gt;0,E15+0.5*calc!$AT$2/60&lt;0),TRUE()),INT(D15),"")</f>
        <v/>
      </c>
      <c r="I16" s="59" t="str">
        <f aca="false">IF(IF(AND(E16+0.5*calc!$AT$3/60&gt;0,E15+0.5*calc!$AT$2/60&lt;0),TRUE()),IF(D15=INT(D15),ROUND(-30*(E15+0.5*calc!$AT$2/60)/(-E15+E16),1),ROUND(30-30*(E15+0.5*calc!$AT$2/60)/(-E15+E16),1)),"")</f>
        <v/>
      </c>
      <c r="J16" s="2" t="str">
        <f aca="false">IF(IF(AND(E16+0.5*calc!$AT$3/60&lt;0,E15+0.5*calc!$AT$2/60&gt;0),TRUE()),INT(D15),"")</f>
        <v/>
      </c>
      <c r="K16" s="2" t="str">
        <f aca="false">IF(IF(AND(E16+0.5*calc!$AT$3/60&lt;0,E15+0.5*calc!$AT$2/60&gt;0),TRUE()),IF(D15=INT(D15),ROUND(30*(E15+0.5*calc!$AT$2/60)/(E15-E16),1),ROUND(30+30*(E15+0.5*calc!$AT$2/60)/(E15-E16),1)),"")</f>
        <v/>
      </c>
      <c r="L16" s="4" t="str">
        <f aca="false">IF(H16&lt;&gt;"",H16&amp;":"&amp;IF(I16&gt;=10,I16,"0"&amp;I16),"")</f>
        <v/>
      </c>
      <c r="M16" s="4" t="str">
        <f aca="false">IF(J16&lt;&gt;"",J16&amp;":"&amp;IF(K16&gt;=10,K16,"0"&amp;K16),"")</f>
        <v/>
      </c>
      <c r="N16" s="62" t="str">
        <f aca="false">IF(AND(E15&lt;E16,E17&lt;E16),D16+0.25*(E17-E15)/(2*E16-E15-E17),"")</f>
        <v/>
      </c>
      <c r="O16" s="6" t="str">
        <f aca="false">IF(N16&lt;&gt;"",INT(N16)&amp;":"&amp;IF(ROUND(60*MOD(D16+0.25*(E17-E15)/(2*E16-E15-E17),1),1)&gt;=10,ROUND(60*MOD(D16+0.25*(E17-E15)/(2*E16-E15-E17),1),1),"0"&amp;ROUND(60*MOD(D16+0.25*(E17-E15)/(2*E16-E15-E17),1),1)),"")</f>
        <v/>
      </c>
      <c r="P16" s="34" t="str">
        <f aca="false">IF(AND(F15&lt;180,F16&gt;180),D16-0.5*(F16-180)/(F16-F15),"")</f>
        <v/>
      </c>
      <c r="Q16" s="6" t="str">
        <f aca="false">IF(P16&lt;&gt;"",INT(P16)&amp;":"&amp;IF(ROUND(60*MOD(P16,1),1)&gt;=10,ROUND(60*MOD(P16,1),1),"0"&amp;ROUND(60*MOD(P16,1),1)),"")</f>
        <v/>
      </c>
      <c r="R16" s="4" t="n">
        <v>180</v>
      </c>
    </row>
    <row r="17" customFormat="false" ht="15" hidden="false" customHeight="false" outlineLevel="0" collapsed="false">
      <c r="D17" s="34" t="n">
        <f aca="false">calc!$A$17</f>
        <v>7.5</v>
      </c>
      <c r="E17" s="63" t="n">
        <f aca="false">calc!$G$17</f>
        <v>-43.7357909086997</v>
      </c>
      <c r="F17" s="64" t="n">
        <f aca="false">calc!$I$17</f>
        <v>37.7584768537834</v>
      </c>
      <c r="G17" s="48" t="n">
        <f aca="false">calc!$H$17</f>
        <v>57.8993325029436</v>
      </c>
      <c r="H17" s="2" t="str">
        <f aca="false">IF(IF(AND(E17+0.5*calc!$AT$3/60&gt;0,E16+0.5*calc!$AT$2/60&lt;0),TRUE()),INT(D16),"")</f>
        <v/>
      </c>
      <c r="I17" s="59" t="str">
        <f aca="false">IF(IF(AND(E17+0.5*calc!$AT$3/60&gt;0,E16+0.5*calc!$AT$2/60&lt;0),TRUE()),IF(D16=INT(D16),ROUND(-30*(E16+0.5*calc!$AT$2/60)/(-E16+E17),1),ROUND(30-30*(E16+0.5*calc!$AT$2/60)/(-E16+E17),1)),"")</f>
        <v/>
      </c>
      <c r="J17" s="2" t="str">
        <f aca="false">IF(IF(AND(E17+0.5*calc!$AT$3/60&lt;0,E16+0.5*calc!$AT$2/60&gt;0),TRUE()),INT(D16),"")</f>
        <v/>
      </c>
      <c r="K17" s="2" t="str">
        <f aca="false">IF(IF(AND(E17+0.5*calc!$AT$3/60&lt;0,E16+0.5*calc!$AT$2/60&gt;0),TRUE()),IF(D16=INT(D16),ROUND(30*(E16+0.5*calc!$AT$2/60)/(E16-E17),1),ROUND(30+30*(E16+0.5*calc!$AT$2/60)/(E16-E17),1)),"")</f>
        <v/>
      </c>
      <c r="L17" s="4" t="str">
        <f aca="false">IF(H17&lt;&gt;"",H17&amp;":"&amp;IF(I17&gt;=10,I17,"0"&amp;I17),"")</f>
        <v/>
      </c>
      <c r="M17" s="4" t="str">
        <f aca="false">IF(J17&lt;&gt;"",J17&amp;":"&amp;IF(K17&gt;=10,K17,"0"&amp;K17),"")</f>
        <v/>
      </c>
      <c r="N17" s="62" t="str">
        <f aca="false">IF(AND(E16&lt;E17,E18&lt;E17),D17+0.25*(E18-E16)/(2*E17-E16-E18),"")</f>
        <v/>
      </c>
      <c r="O17" s="6" t="str">
        <f aca="false">IF(N17&lt;&gt;"",INT(N17)&amp;":"&amp;IF(ROUND(60*MOD(D17+0.25*(E18-E16)/(2*E17-E16-E18),1),1)&gt;=10,ROUND(60*MOD(D17+0.25*(E18-E16)/(2*E17-E16-E18),1),1),"0"&amp;ROUND(60*MOD(D17+0.25*(E18-E16)/(2*E17-E16-E18),1),1)),"")</f>
        <v/>
      </c>
      <c r="P17" s="34" t="str">
        <f aca="false">IF(AND(F16&lt;180,F17&gt;180),D17-0.5*(F17-180)/(F17-F16),"")</f>
        <v/>
      </c>
      <c r="Q17" s="6" t="str">
        <f aca="false">IF(P17&lt;&gt;"",INT(P17)&amp;":"&amp;IF(ROUND(60*MOD(P17,1),1)&gt;=10,ROUND(60*MOD(P17,1),1),"0"&amp;ROUND(60*MOD(P17,1),1)),"")</f>
        <v/>
      </c>
      <c r="R17" s="4" t="n">
        <v>180</v>
      </c>
    </row>
    <row r="18" customFormat="false" ht="15" hidden="false" customHeight="false" outlineLevel="0" collapsed="false">
      <c r="D18" s="34" t="n">
        <f aca="false">calc!$A$18</f>
        <v>8</v>
      </c>
      <c r="E18" s="63" t="n">
        <f aca="false">calc!$G$18</f>
        <v>-40.5343082081261</v>
      </c>
      <c r="F18" s="64" t="n">
        <f aca="false">calc!$I$18</f>
        <v>46.309089417541</v>
      </c>
      <c r="G18" s="48" t="n">
        <f aca="false">calc!$H$18</f>
        <v>58.1256807897544</v>
      </c>
      <c r="H18" s="2" t="str">
        <f aca="false">IF(IF(AND(E18+0.5*calc!$AT$3/60&gt;0,E17+0.5*calc!$AT$2/60&lt;0),TRUE()),INT(D17),"")</f>
        <v/>
      </c>
      <c r="I18" s="59" t="str">
        <f aca="false">IF(IF(AND(E18+0.5*calc!$AT$3/60&gt;0,E17+0.5*calc!$AT$2/60&lt;0),TRUE()),IF(D17=INT(D17),ROUND(-30*(E17+0.5*calc!$AT$2/60)/(-E17+E18),1),ROUND(30-30*(E17+0.5*calc!$AT$2/60)/(-E17+E18),1)),"")</f>
        <v/>
      </c>
      <c r="J18" s="2" t="str">
        <f aca="false">IF(IF(AND(E18+0.5*calc!$AT$3/60&lt;0,E17+0.5*calc!$AT$2/60&gt;0),TRUE()),INT(D17),"")</f>
        <v/>
      </c>
      <c r="K18" s="2" t="str">
        <f aca="false">IF(IF(AND(E18+0.5*calc!$AT$3/60&lt;0,E17+0.5*calc!$AT$2/60&gt;0),TRUE()),IF(D17=INT(D17),ROUND(30*(E17+0.5*calc!$AT$2/60)/(E17-E18),1),ROUND(30+30*(E17+0.5*calc!$AT$2/60)/(E17-E18),1)),"")</f>
        <v/>
      </c>
      <c r="L18" s="4" t="str">
        <f aca="false">IF(H18&lt;&gt;"",H18&amp;":"&amp;IF(I18&gt;=10,I18,"0"&amp;I18),"")</f>
        <v/>
      </c>
      <c r="M18" s="4" t="str">
        <f aca="false">IF(J18&lt;&gt;"",J18&amp;":"&amp;IF(K18&gt;=10,K18,"0"&amp;K18),"")</f>
        <v/>
      </c>
      <c r="N18" s="62" t="str">
        <f aca="false">IF(AND(E17&lt;E18,E19&lt;E18),D18+0.25*(E19-E17)/(2*E18-E17-E19),"")</f>
        <v/>
      </c>
      <c r="O18" s="6" t="str">
        <f aca="false">IF(N18&lt;&gt;"",INT(N18)&amp;":"&amp;IF(ROUND(60*MOD(D18+0.25*(E19-E17)/(2*E18-E17-E19),1),1)&gt;=10,ROUND(60*MOD(D18+0.25*(E19-E17)/(2*E18-E17-E19),1),1),"0"&amp;ROUND(60*MOD(D18+0.25*(E19-E17)/(2*E18-E17-E19),1),1)),"")</f>
        <v/>
      </c>
      <c r="P18" s="34" t="str">
        <f aca="false">IF(AND(F17&lt;180,F18&gt;180),D18-0.5*(F18-180)/(F18-F17),"")</f>
        <v/>
      </c>
      <c r="Q18" s="6" t="str">
        <f aca="false">IF(P18&lt;&gt;"",INT(P18)&amp;":"&amp;IF(ROUND(60*MOD(P18,1),1)&gt;=10,ROUND(60*MOD(P18,1),1),"0"&amp;ROUND(60*MOD(P18,1),1)),"")</f>
        <v/>
      </c>
      <c r="R18" s="4" t="n">
        <v>180</v>
      </c>
    </row>
    <row r="19" customFormat="false" ht="15" hidden="false" customHeight="false" outlineLevel="0" collapsed="false">
      <c r="D19" s="34" t="n">
        <f aca="false">calc!$A$19</f>
        <v>8.5</v>
      </c>
      <c r="E19" s="63" t="n">
        <f aca="false">calc!$G$19</f>
        <v>-36.8786675162829</v>
      </c>
      <c r="F19" s="64" t="n">
        <f aca="false">calc!$I$19</f>
        <v>54.1244245060994</v>
      </c>
      <c r="G19" s="48" t="n">
        <f aca="false">calc!$H$19</f>
        <v>58.3517504249271</v>
      </c>
      <c r="H19" s="2" t="str">
        <f aca="false">IF(IF(AND(E19+0.5*calc!$AT$3/60&gt;0,E18+0.5*calc!$AT$2/60&lt;0),TRUE()),INT(D18),"")</f>
        <v/>
      </c>
      <c r="I19" s="59" t="str">
        <f aca="false">IF(IF(AND(E19+0.5*calc!$AT$3/60&gt;0,E18+0.5*calc!$AT$2/60&lt;0),TRUE()),IF(D18=INT(D18),ROUND(-30*(E18+0.5*calc!$AT$2/60)/(-E18+E19),1),ROUND(30-30*(E18+0.5*calc!$AT$2/60)/(-E18+E19),1)),"")</f>
        <v/>
      </c>
      <c r="J19" s="2" t="str">
        <f aca="false">IF(IF(AND(E19+0.5*calc!$AT$3/60&lt;0,E18+0.5*calc!$AT$2/60&gt;0),TRUE()),INT(D18),"")</f>
        <v/>
      </c>
      <c r="K19" s="2" t="str">
        <f aca="false">IF(IF(AND(E19+0.5*calc!$AT$3/60&lt;0,E18+0.5*calc!$AT$2/60&gt;0),TRUE()),IF(D18=INT(D18),ROUND(30*(E18+0.5*calc!$AT$2/60)/(E18-E19),1),ROUND(30+30*(E18+0.5*calc!$AT$2/60)/(E18-E19),1)),"")</f>
        <v/>
      </c>
      <c r="L19" s="4" t="str">
        <f aca="false">IF(H19&lt;&gt;"",H19&amp;":"&amp;IF(I19&gt;=10,I19,"0"&amp;I19),"")</f>
        <v/>
      </c>
      <c r="M19" s="4" t="str">
        <f aca="false">IF(J19&lt;&gt;"",J19&amp;":"&amp;IF(K19&gt;=10,K19,"0"&amp;K19),"")</f>
        <v/>
      </c>
      <c r="N19" s="62" t="str">
        <f aca="false">IF(AND(E18&lt;E19,E20&lt;E19),D19+0.25*(E20-E18)/(2*E19-E18-E20),"")</f>
        <v/>
      </c>
      <c r="O19" s="6" t="str">
        <f aca="false">IF(N19&lt;&gt;"",INT(N19)&amp;":"&amp;IF(ROUND(60*MOD(D19+0.25*(E20-E18)/(2*E19-E18-E20),1),1)&gt;=10,ROUND(60*MOD(D19+0.25*(E20-E18)/(2*E19-E18-E20),1),1),"0"&amp;ROUND(60*MOD(D19+0.25*(E20-E18)/(2*E19-E18-E20),1),1)),"")</f>
        <v/>
      </c>
      <c r="P19" s="34" t="str">
        <f aca="false">IF(AND(F18&lt;180,F19&gt;180),D19-0.5*(F19-180)/(F19-F18),"")</f>
        <v/>
      </c>
      <c r="Q19" s="6" t="str">
        <f aca="false">IF(P19&lt;&gt;"",INT(P19)&amp;":"&amp;IF(ROUND(60*MOD(P19,1),1)&gt;=10,ROUND(60*MOD(P19,1),1),"0"&amp;ROUND(60*MOD(P19,1),1)),"")</f>
        <v/>
      </c>
      <c r="R19" s="4" t="n">
        <v>180</v>
      </c>
    </row>
    <row r="20" customFormat="false" ht="15" hidden="false" customHeight="false" outlineLevel="0" collapsed="false">
      <c r="D20" s="34" t="n">
        <f aca="false">calc!$A$20</f>
        <v>9</v>
      </c>
      <c r="E20" s="63" t="n">
        <f aca="false">calc!$G$20</f>
        <v>-32.8691332357903</v>
      </c>
      <c r="F20" s="64" t="n">
        <f aca="false">calc!$I$20</f>
        <v>61.2938889602053</v>
      </c>
      <c r="G20" s="48" t="n">
        <f aca="false">calc!$H$20</f>
        <v>58.57753705123</v>
      </c>
      <c r="H20" s="2" t="str">
        <f aca="false">IF(IF(AND(E20+0.5*calc!$AT$3/60&gt;0,E19+0.5*calc!$AT$2/60&lt;0),TRUE()),INT(D19),"")</f>
        <v/>
      </c>
      <c r="I20" s="59" t="str">
        <f aca="false">IF(IF(AND(E20+0.5*calc!$AT$3/60&gt;0,E19+0.5*calc!$AT$2/60&lt;0),TRUE()),IF(D19=INT(D19),ROUND(-30*(E19+0.5*calc!$AT$2/60)/(-E19+E20),1),ROUND(30-30*(E19+0.5*calc!$AT$2/60)/(-E19+E20),1)),"")</f>
        <v/>
      </c>
      <c r="J20" s="2" t="str">
        <f aca="false">IF(IF(AND(E20+0.5*calc!$AT$3/60&lt;0,E19+0.5*calc!$AT$2/60&gt;0),TRUE()),INT(D19),"")</f>
        <v/>
      </c>
      <c r="K20" s="2" t="str">
        <f aca="false">IF(IF(AND(E20+0.5*calc!$AT$3/60&lt;0,E19+0.5*calc!$AT$2/60&gt;0),TRUE()),IF(D19=INT(D19),ROUND(30*(E19+0.5*calc!$AT$2/60)/(E19-E20),1),ROUND(30+30*(E19+0.5*calc!$AT$2/60)/(E19-E20),1)),"")</f>
        <v/>
      </c>
      <c r="L20" s="4" t="str">
        <f aca="false">IF(H20&lt;&gt;"",H20&amp;":"&amp;IF(I20&gt;=10,I20,"0"&amp;I20),"")</f>
        <v/>
      </c>
      <c r="M20" s="4" t="str">
        <f aca="false">IF(J20&lt;&gt;"",J20&amp;":"&amp;IF(K20&gt;=10,K20,"0"&amp;K20),"")</f>
        <v/>
      </c>
      <c r="N20" s="62" t="str">
        <f aca="false">IF(AND(E19&lt;E20,E21&lt;E20),D20+0.25*(E21-E19)/(2*E20-E19-E21),"")</f>
        <v/>
      </c>
      <c r="O20" s="6" t="str">
        <f aca="false">IF(N20&lt;&gt;"",INT(N20)&amp;":"&amp;IF(ROUND(60*MOD(D20+0.25*(E21-E19)/(2*E20-E19-E21),1),1)&gt;=10,ROUND(60*MOD(D20+0.25*(E21-E19)/(2*E20-E19-E21),1),1),"0"&amp;ROUND(60*MOD(D20+0.25*(E21-E19)/(2*E20-E19-E21),1),1)),"")</f>
        <v/>
      </c>
      <c r="P20" s="34" t="str">
        <f aca="false">IF(AND(F19&lt;180,F20&gt;180),D20-0.5*(F20-180)/(F20-F19),"")</f>
        <v/>
      </c>
      <c r="Q20" s="6" t="str">
        <f aca="false">IF(P20&lt;&gt;"",INT(P20)&amp;":"&amp;IF(ROUND(60*MOD(P20,1),1)&gt;=10,ROUND(60*MOD(P20,1),1),"0"&amp;ROUND(60*MOD(P20,1),1)),"")</f>
        <v/>
      </c>
      <c r="R20" s="4" t="n">
        <v>180</v>
      </c>
    </row>
    <row r="21" customFormat="false" ht="15" hidden="false" customHeight="false" outlineLevel="0" collapsed="false">
      <c r="D21" s="34" t="n">
        <f aca="false">calc!$A$21</f>
        <v>9.5</v>
      </c>
      <c r="E21" s="63" t="n">
        <f aca="false">calc!$G$21</f>
        <v>-28.5911957183989</v>
      </c>
      <c r="F21" s="64" t="n">
        <f aca="false">calc!$I$21</f>
        <v>67.9257270091425</v>
      </c>
      <c r="G21" s="48" t="n">
        <f aca="false">calc!$H$21</f>
        <v>58.8030363147355</v>
      </c>
      <c r="H21" s="2" t="str">
        <f aca="false">IF(IF(AND(E21+0.5*calc!$AT$3/60&gt;0,E20+0.5*calc!$AT$2/60&lt;0),TRUE()),INT(D20),"")</f>
        <v/>
      </c>
      <c r="I21" s="59" t="str">
        <f aca="false">IF(IF(AND(E21+0.5*calc!$AT$3/60&gt;0,E20+0.5*calc!$AT$2/60&lt;0),TRUE()),IF(D20=INT(D20),ROUND(-30*(E20+0.5*calc!$AT$2/60)/(-E20+E21),1),ROUND(30-30*(E20+0.5*calc!$AT$2/60)/(-E20+E21),1)),"")</f>
        <v/>
      </c>
      <c r="J21" s="2" t="str">
        <f aca="false">IF(IF(AND(E21+0.5*calc!$AT$3/60&lt;0,E20+0.5*calc!$AT$2/60&gt;0),TRUE()),INT(D20),"")</f>
        <v/>
      </c>
      <c r="K21" s="2" t="str">
        <f aca="false">IF(IF(AND(E21+0.5*calc!$AT$3/60&lt;0,E20+0.5*calc!$AT$2/60&gt;0),TRUE()),IF(D20=INT(D20),ROUND(30*(E20+0.5*calc!$AT$2/60)/(E20-E21),1),ROUND(30+30*(E20+0.5*calc!$AT$2/60)/(E20-E21),1)),"")</f>
        <v/>
      </c>
      <c r="L21" s="4" t="str">
        <f aca="false">IF(H21&lt;&gt;"",H21&amp;":"&amp;IF(I21&gt;=10,I21,"0"&amp;I21),"")</f>
        <v/>
      </c>
      <c r="M21" s="4" t="str">
        <f aca="false">IF(J21&lt;&gt;"",J21&amp;":"&amp;IF(K21&gt;=10,K21,"0"&amp;K21),"")</f>
        <v/>
      </c>
      <c r="N21" s="62" t="str">
        <f aca="false">IF(AND(E20&lt;E21,E22&lt;E21),D21+0.25*(E22-E20)/(2*E21-E20-E22),"")</f>
        <v/>
      </c>
      <c r="O21" s="6" t="str">
        <f aca="false">IF(N21&lt;&gt;"",INT(N21)&amp;":"&amp;IF(ROUND(60*MOD(D21+0.25*(E22-E20)/(2*E21-E20-E22),1),1)&gt;=10,ROUND(60*MOD(D21+0.25*(E22-E20)/(2*E21-E20-E22),1),1),"0"&amp;ROUND(60*MOD(D21+0.25*(E22-E20)/(2*E21-E20-E22),1),1)),"")</f>
        <v/>
      </c>
      <c r="P21" s="34" t="str">
        <f aca="false">IF(AND(F20&lt;180,F21&gt;180),D21-0.5*(F21-180)/(F21-F20),"")</f>
        <v/>
      </c>
      <c r="Q21" s="6" t="str">
        <f aca="false">IF(P21&lt;&gt;"",INT(P21)&amp;":"&amp;IF(ROUND(60*MOD(P21,1),1)&gt;=10,ROUND(60*MOD(P21,1),1),"0"&amp;ROUND(60*MOD(P21,1),1)),"")</f>
        <v/>
      </c>
      <c r="R21" s="4" t="n">
        <v>180</v>
      </c>
    </row>
    <row r="22" customFormat="false" ht="15" hidden="false" customHeight="false" outlineLevel="0" collapsed="false">
      <c r="D22" s="34" t="n">
        <f aca="false">calc!$A$22</f>
        <v>10</v>
      </c>
      <c r="E22" s="63" t="n">
        <f aca="false">calc!$G$22</f>
        <v>-24.1167455430255</v>
      </c>
      <c r="F22" s="64" t="n">
        <f aca="false">calc!$I$22</f>
        <v>74.13003793932</v>
      </c>
      <c r="G22" s="48" t="n">
        <f aca="false">calc!$H$22</f>
        <v>59.0282438799062</v>
      </c>
      <c r="H22" s="2" t="str">
        <f aca="false">IF(IF(AND(E22+0.5*calc!$AT$3/60&gt;0,E21+0.5*calc!$AT$2/60&lt;0),TRUE()),INT(D21),"")</f>
        <v/>
      </c>
      <c r="I22" s="59" t="str">
        <f aca="false">IF(IF(AND(E22+0.5*calc!$AT$3/60&gt;0,E21+0.5*calc!$AT$2/60&lt;0),TRUE()),IF(D21=INT(D21),ROUND(-30*(E21+0.5*calc!$AT$2/60)/(-E21+E22),1),ROUND(30-30*(E21+0.5*calc!$AT$2/60)/(-E21+E22),1)),"")</f>
        <v/>
      </c>
      <c r="J22" s="2" t="str">
        <f aca="false">IF(IF(AND(E22+0.5*calc!$AT$3/60&lt;0,E21+0.5*calc!$AT$2/60&gt;0),TRUE()),INT(D21),"")</f>
        <v/>
      </c>
      <c r="K22" s="2" t="str">
        <f aca="false">IF(IF(AND(E22+0.5*calc!$AT$3/60&lt;0,E21+0.5*calc!$AT$2/60&gt;0),TRUE()),IF(D21=INT(D21),ROUND(30*(E21+0.5*calc!$AT$2/60)/(E21-E22),1),ROUND(30+30*(E21+0.5*calc!$AT$2/60)/(E21-E22),1)),"")</f>
        <v/>
      </c>
      <c r="L22" s="4" t="str">
        <f aca="false">IF(H22&lt;&gt;"",H22&amp;":"&amp;IF(I22&gt;=10,I22,"0"&amp;I22),"")</f>
        <v/>
      </c>
      <c r="M22" s="4" t="str">
        <f aca="false">IF(J22&lt;&gt;"",J22&amp;":"&amp;IF(K22&gt;=10,K22,"0"&amp;K22),"")</f>
        <v/>
      </c>
      <c r="N22" s="62" t="str">
        <f aca="false">IF(AND(E21&lt;E22,E23&lt;E22),D22+0.25*(E23-E21)/(2*E22-E21-E23),"")</f>
        <v/>
      </c>
      <c r="O22" s="6" t="str">
        <f aca="false">IF(N22&lt;&gt;"",INT(N22)&amp;":"&amp;IF(ROUND(60*MOD(D22+0.25*(E23-E21)/(2*E22-E21-E23),1),1)&gt;=10,ROUND(60*MOD(D22+0.25*(E23-E21)/(2*E22-E21-E23),1),1),"0"&amp;ROUND(60*MOD(D22+0.25*(E23-E21)/(2*E22-E21-E23),1),1)),"")</f>
        <v/>
      </c>
      <c r="P22" s="34" t="str">
        <f aca="false">IF(AND(F21&lt;180,F22&gt;180),D22-0.5*(F22-180)/(F22-F21),"")</f>
        <v/>
      </c>
      <c r="Q22" s="6" t="str">
        <f aca="false">IF(P22&lt;&gt;"",INT(P22)&amp;":"&amp;IF(ROUND(60*MOD(P22,1),1)&gt;=10,ROUND(60*MOD(P22,1),1),"0"&amp;ROUND(60*MOD(P22,1),1)),"")</f>
        <v/>
      </c>
      <c r="R22" s="4" t="n">
        <v>180</v>
      </c>
    </row>
    <row r="23" customFormat="false" ht="15" hidden="false" customHeight="false" outlineLevel="0" collapsed="false">
      <c r="D23" s="34" t="n">
        <f aca="false">calc!$A$23</f>
        <v>10.5</v>
      </c>
      <c r="E23" s="63" t="n">
        <f aca="false">calc!$G$23</f>
        <v>-19.5068321638062</v>
      </c>
      <c r="F23" s="64" t="n">
        <f aca="false">calc!$I$23</f>
        <v>80.0107505499391</v>
      </c>
      <c r="G23" s="48" t="n">
        <f aca="false">calc!$H$23</f>
        <v>59.2531554447459</v>
      </c>
      <c r="H23" s="2" t="str">
        <f aca="false">IF(IF(AND(E23+0.5*calc!$AT$3/60&gt;0,E22+0.5*calc!$AT$2/60&lt;0),TRUE()),INT(D22),"")</f>
        <v/>
      </c>
      <c r="I23" s="59" t="str">
        <f aca="false">IF(IF(AND(E23+0.5*calc!$AT$3/60&gt;0,E22+0.5*calc!$AT$2/60&lt;0),TRUE()),IF(D22=INT(D22),ROUND(-30*(E22+0.5*calc!$AT$2/60)/(-E22+E23),1),ROUND(30-30*(E22+0.5*calc!$AT$2/60)/(-E22+E23),1)),"")</f>
        <v/>
      </c>
      <c r="J23" s="2" t="str">
        <f aca="false">IF(IF(AND(E23+0.5*calc!$AT$3/60&lt;0,E22+0.5*calc!$AT$2/60&gt;0),TRUE()),INT(D22),"")</f>
        <v/>
      </c>
      <c r="K23" s="2" t="str">
        <f aca="false">IF(IF(AND(E23+0.5*calc!$AT$3/60&lt;0,E22+0.5*calc!$AT$2/60&gt;0),TRUE()),IF(D22=INT(D22),ROUND(30*(E22+0.5*calc!$AT$2/60)/(E22-E23),1),ROUND(30+30*(E22+0.5*calc!$AT$2/60)/(E22-E23),1)),"")</f>
        <v/>
      </c>
      <c r="L23" s="4" t="str">
        <f aca="false">IF(H23&lt;&gt;"",H23&amp;":"&amp;IF(I23&gt;=10,I23,"0"&amp;I23),"")</f>
        <v/>
      </c>
      <c r="M23" s="4" t="str">
        <f aca="false">IF(J23&lt;&gt;"",J23&amp;":"&amp;IF(K23&gt;=10,K23,"0"&amp;K23),"")</f>
        <v/>
      </c>
      <c r="N23" s="62" t="str">
        <f aca="false">IF(AND(E22&lt;E23,E24&lt;E23),D23+0.25*(E24-E22)/(2*E23-E22-E24),"")</f>
        <v/>
      </c>
      <c r="O23" s="6" t="str">
        <f aca="false">IF(N23&lt;&gt;"",INT(N23)&amp;":"&amp;IF(ROUND(60*MOD(D23+0.25*(E24-E22)/(2*E23-E22-E24),1),1)&gt;=10,ROUND(60*MOD(D23+0.25*(E24-E22)/(2*E23-E22-E24),1),1),"0"&amp;ROUND(60*MOD(D23+0.25*(E24-E22)/(2*E23-E22-E24),1),1)),"")</f>
        <v/>
      </c>
      <c r="P23" s="34" t="str">
        <f aca="false">IF(AND(F22&lt;180,F23&gt;180),D23-0.5*(F23-180)/(F23-F22),"")</f>
        <v/>
      </c>
      <c r="Q23" s="6" t="str">
        <f aca="false">IF(P23&lt;&gt;"",INT(P23)&amp;":"&amp;IF(ROUND(60*MOD(P23,1),1)&gt;=10,ROUND(60*MOD(P23,1),1),"0"&amp;ROUND(60*MOD(P23,1),1)),"")</f>
        <v/>
      </c>
      <c r="R23" s="4" t="n">
        <v>180</v>
      </c>
    </row>
    <row r="24" customFormat="false" ht="15" hidden="false" customHeight="false" outlineLevel="0" collapsed="false">
      <c r="D24" s="34" t="n">
        <f aca="false">calc!$A$24</f>
        <v>11</v>
      </c>
      <c r="E24" s="63" t="n">
        <f aca="false">calc!$G$24</f>
        <v>-14.8148850965183</v>
      </c>
      <c r="F24" s="64" t="n">
        <f aca="false">calc!$I$24</f>
        <v>85.6630623843265</v>
      </c>
      <c r="G24" s="48" t="n">
        <f aca="false">calc!$H$24</f>
        <v>59.4777667105496</v>
      </c>
      <c r="H24" s="2" t="str">
        <f aca="false">IF(IF(AND(E24+0.5*calc!$AT$3/60&gt;0,E23+0.5*calc!$AT$2/60&lt;0),TRUE()),INT(D23),"")</f>
        <v/>
      </c>
      <c r="I24" s="59" t="str">
        <f aca="false">IF(IF(AND(E24+0.5*calc!$AT$3/60&gt;0,E23+0.5*calc!$AT$2/60&lt;0),TRUE()),IF(D23=INT(D23),ROUND(-30*(E23+0.5*calc!$AT$2/60)/(-E23+E24),1),ROUND(30-30*(E23+0.5*calc!$AT$2/60)/(-E23+E24),1)),"")</f>
        <v/>
      </c>
      <c r="J24" s="2" t="str">
        <f aca="false">IF(IF(AND(E24+0.5*calc!$AT$3/60&lt;0,E23+0.5*calc!$AT$2/60&gt;0),TRUE()),INT(D23),"")</f>
        <v/>
      </c>
      <c r="K24" s="2" t="str">
        <f aca="false">IF(IF(AND(E24+0.5*calc!$AT$3/60&lt;0,E23+0.5*calc!$AT$2/60&gt;0),TRUE()),IF(D23=INT(D23),ROUND(30*(E23+0.5*calc!$AT$2/60)/(E23-E24),1),ROUND(30+30*(E23+0.5*calc!$AT$2/60)/(E23-E24),1)),"")</f>
        <v/>
      </c>
      <c r="L24" s="4" t="str">
        <f aca="false">IF(H24&lt;&gt;"",H24&amp;":"&amp;IF(I24&gt;=10,I24,"0"&amp;I24),"")</f>
        <v/>
      </c>
      <c r="M24" s="4" t="str">
        <f aca="false">IF(J24&lt;&gt;"",J24&amp;":"&amp;IF(K24&gt;=10,K24,"0"&amp;K24),"")</f>
        <v/>
      </c>
      <c r="N24" s="62" t="str">
        <f aca="false">IF(AND(E23&lt;E24,E25&lt;E24),D24+0.25*(E25-E23)/(2*E24-E23-E25),"")</f>
        <v/>
      </c>
      <c r="O24" s="6" t="str">
        <f aca="false">IF(N24&lt;&gt;"",INT(N24)&amp;":"&amp;IF(ROUND(60*MOD(D24+0.25*(E25-E23)/(2*E24-E23-E25),1),1)&gt;=10,ROUND(60*MOD(D24+0.25*(E25-E23)/(2*E24-E23-E25),1),1),"0"&amp;ROUND(60*MOD(D24+0.25*(E25-E23)/(2*E24-E23-E25),1),1)),"")</f>
        <v/>
      </c>
      <c r="P24" s="34" t="str">
        <f aca="false">IF(AND(F23&lt;180,F24&gt;180),D24-0.5*(F24-180)/(F24-F23),"")</f>
        <v/>
      </c>
      <c r="Q24" s="6" t="str">
        <f aca="false">IF(P24&lt;&gt;"",INT(P24)&amp;":"&amp;IF(ROUND(60*MOD(P24,1),1)&gt;=10,ROUND(60*MOD(P24,1),1),"0"&amp;ROUND(60*MOD(P24,1),1)),"")</f>
        <v/>
      </c>
      <c r="R24" s="4" t="n">
        <v>180</v>
      </c>
    </row>
    <row r="25" customFormat="false" ht="15" hidden="false" customHeight="false" outlineLevel="0" collapsed="false">
      <c r="D25" s="34" t="n">
        <f aca="false">calc!$A$25</f>
        <v>11.5</v>
      </c>
      <c r="E25" s="63" t="n">
        <f aca="false">calc!$G$25</f>
        <v>-10.0877816041642</v>
      </c>
      <c r="F25" s="64" t="n">
        <f aca="false">calc!$I$25</f>
        <v>91.1737234224602</v>
      </c>
      <c r="G25" s="48" t="n">
        <f aca="false">calc!$H$25</f>
        <v>59.7020733970213</v>
      </c>
      <c r="H25" s="2" t="str">
        <f aca="false">IF(IF(AND(E25+0.5*calc!$AT$3/60&gt;0,E24+0.5*calc!$AT$2/60&lt;0),TRUE()),INT(D24),"")</f>
        <v/>
      </c>
      <c r="I25" s="59" t="str">
        <f aca="false">IF(IF(AND(E25+0.5*calc!$AT$3/60&gt;0,E24+0.5*calc!$AT$2/60&lt;0),TRUE()),IF(D24=INT(D24),ROUND(-30*(E24+0.5*calc!$AT$2/60)/(-E24+E25),1),ROUND(30-30*(E24+0.5*calc!$AT$2/60)/(-E24+E25),1)),"")</f>
        <v/>
      </c>
      <c r="J25" s="2" t="str">
        <f aca="false">IF(IF(AND(E25+0.5*calc!$AT$3/60&lt;0,E24+0.5*calc!$AT$2/60&gt;0),TRUE()),INT(D24),"")</f>
        <v/>
      </c>
      <c r="K25" s="2" t="str">
        <f aca="false">IF(IF(AND(E25+0.5*calc!$AT$3/60&lt;0,E24+0.5*calc!$AT$2/60&gt;0),TRUE()),IF(D24=INT(D24),ROUND(30*(E24+0.5*calc!$AT$2/60)/(E24-E25),1),ROUND(30+30*(E24+0.5*calc!$AT$2/60)/(E24-E25),1)),"")</f>
        <v/>
      </c>
      <c r="L25" s="4" t="str">
        <f aca="false">IF(H25&lt;&gt;"",H25&amp;":"&amp;IF(I25&gt;=10,I25,"0"&amp;I25),"")</f>
        <v/>
      </c>
      <c r="M25" s="4" t="str">
        <f aca="false">IF(J25&lt;&gt;"",J25&amp;":"&amp;IF(K25&gt;=10,K25,"0"&amp;K25),"")</f>
        <v/>
      </c>
      <c r="N25" s="62" t="str">
        <f aca="false">IF(AND(E24&lt;E25,E26&lt;E25),D25+0.25*(E26-E24)/(2*E25-E24-E26),"")</f>
        <v/>
      </c>
      <c r="O25" s="6" t="str">
        <f aca="false">IF(N25&lt;&gt;"",INT(N25)&amp;":"&amp;IF(ROUND(60*MOD(D25+0.25*(E26-E24)/(2*E25-E24-E26),1),1)&gt;=10,ROUND(60*MOD(D25+0.25*(E26-E24)/(2*E25-E24-E26),1),1),"0"&amp;ROUND(60*MOD(D25+0.25*(E26-E24)/(2*E25-E24-E26),1),1)),"")</f>
        <v/>
      </c>
      <c r="P25" s="34" t="str">
        <f aca="false">IF(AND(F24&lt;180,F25&gt;180),D25-0.5*(F25-180)/(F25-F24),"")</f>
        <v/>
      </c>
      <c r="Q25" s="6" t="str">
        <f aca="false">IF(P25&lt;&gt;"",INT(P25)&amp;":"&amp;IF(ROUND(60*MOD(P25,1),1)&gt;=10,ROUND(60*MOD(P25,1),1),"0"&amp;ROUND(60*MOD(P25,1),1)),"")</f>
        <v/>
      </c>
      <c r="R25" s="4" t="n">
        <v>180</v>
      </c>
    </row>
    <row r="26" customFormat="false" ht="15" hidden="false" customHeight="false" outlineLevel="0" collapsed="false">
      <c r="D26" s="34" t="n">
        <f aca="false">calc!$A$26</f>
        <v>12</v>
      </c>
      <c r="E26" s="63" t="n">
        <f aca="false">calc!$G$26</f>
        <v>-5.26973521548014</v>
      </c>
      <c r="F26" s="64" t="n">
        <f aca="false">calc!$I$26</f>
        <v>96.6225533541507</v>
      </c>
      <c r="G26" s="48" t="n">
        <f aca="false">calc!$H$26</f>
        <v>59.9260712573632</v>
      </c>
      <c r="H26" s="2" t="str">
        <f aca="false">IF(IF(AND(E26+0.5*calc!$AT$3/60&gt;0,E25+0.5*calc!$AT$2/60&lt;0),TRUE()),INT(D25),"")</f>
        <v/>
      </c>
      <c r="I26" s="59" t="str">
        <f aca="false">IF(IF(AND(E26+0.5*calc!$AT$3/60&gt;0,E25+0.5*calc!$AT$2/60&lt;0),TRUE()),IF(D25=INT(D25),ROUND(-30*(E25+0.5*calc!$AT$2/60)/(-E25+E26),1),ROUND(30-30*(E25+0.5*calc!$AT$2/60)/(-E25+E26),1)),"")</f>
        <v/>
      </c>
      <c r="J26" s="2" t="str">
        <f aca="false">IF(IF(AND(E26+0.5*calc!$AT$3/60&lt;0,E25+0.5*calc!$AT$2/60&gt;0),TRUE()),INT(D25),"")</f>
        <v/>
      </c>
      <c r="K26" s="2" t="str">
        <f aca="false">IF(IF(AND(E26+0.5*calc!$AT$3/60&lt;0,E25+0.5*calc!$AT$2/60&gt;0),TRUE()),IF(D25=INT(D25),ROUND(30*(E25+0.5*calc!$AT$2/60)/(E25-E26),1),ROUND(30+30*(E25+0.5*calc!$AT$2/60)/(E25-E26),1)),"")</f>
        <v/>
      </c>
      <c r="L26" s="4" t="str">
        <f aca="false">IF(H26&lt;&gt;"",H26&amp;":"&amp;IF(I26&gt;=10,I26,"0"&amp;I26),"")</f>
        <v/>
      </c>
      <c r="M26" s="4" t="str">
        <f aca="false">IF(J26&lt;&gt;"",J26&amp;":"&amp;IF(K26&gt;=10,K26,"0"&amp;K26),"")</f>
        <v/>
      </c>
      <c r="N26" s="62" t="str">
        <f aca="false">IF(AND(E25&lt;E26,E27&lt;E26),D26+0.25*(E27-E25)/(2*E26-E25-E27),"")</f>
        <v/>
      </c>
      <c r="O26" s="6" t="str">
        <f aca="false">IF(N26&lt;&gt;"",INT(N26)&amp;":"&amp;IF(ROUND(60*MOD(D26+0.25*(E27-E25)/(2*E26-E25-E27),1),1)&gt;=10,ROUND(60*MOD(D26+0.25*(E27-E25)/(2*E26-E25-E27),1),1),"0"&amp;ROUND(60*MOD(D26+0.25*(E27-E25)/(2*E26-E25-E27),1),1)),"")</f>
        <v/>
      </c>
      <c r="P26" s="34" t="str">
        <f aca="false">IF(AND(F25&lt;180,F26&gt;180),D26-0.5*(F26-180)/(F26-F25),"")</f>
        <v/>
      </c>
      <c r="Q26" s="6" t="str">
        <f aca="false">IF(P26&lt;&gt;"",INT(P26)&amp;":"&amp;IF(ROUND(60*MOD(P26,1),1)&gt;=10,ROUND(60*MOD(P26,1),1),"0"&amp;ROUND(60*MOD(P26,1),1)),"")</f>
        <v/>
      </c>
      <c r="R26" s="4" t="n">
        <v>180</v>
      </c>
    </row>
    <row r="27" customFormat="false" ht="15" hidden="false" customHeight="false" outlineLevel="0" collapsed="false">
      <c r="D27" s="34" t="n">
        <f aca="false">calc!$A$27</f>
        <v>12.5</v>
      </c>
      <c r="E27" s="63" t="n">
        <f aca="false">calc!$G$27</f>
        <v>0.00864991928557446</v>
      </c>
      <c r="F27" s="64" t="n">
        <f aca="false">calc!$I$27</f>
        <v>102.084292052823</v>
      </c>
      <c r="G27" s="48" t="n">
        <f aca="false">calc!$H$27</f>
        <v>60.1497560480394</v>
      </c>
      <c r="H27" s="2" t="n">
        <f aca="false">IF(IF(AND(E27+0.5*calc!$AT$3/60&gt;0,E26+0.5*calc!$AT$2/60&lt;0),TRUE()),INT(D26),"")</f>
        <v>12</v>
      </c>
      <c r="I27" s="59" t="n">
        <f aca="false">IF(IF(AND(E27+0.5*calc!$AT$3/60&gt;0,E26+0.5*calc!$AT$2/60&lt;0),TRUE()),IF(D26=INT(D26),ROUND(-30*(E26+0.5*calc!$AT$2/60)/(-E26+E27),1),ROUND(30-30*(E26+0.5*calc!$AT$2/60)/(-E26+E27),1)),"")</f>
        <v>28.4</v>
      </c>
      <c r="J27" s="2" t="str">
        <f aca="false">IF(IF(AND(E27+0.5*calc!$AT$3/60&lt;0,E26+0.5*calc!$AT$2/60&gt;0),TRUE()),INT(D26),"")</f>
        <v/>
      </c>
      <c r="K27" s="2" t="str">
        <f aca="false">IF(IF(AND(E27+0.5*calc!$AT$3/60&lt;0,E26+0.5*calc!$AT$2/60&gt;0),TRUE()),IF(D26=INT(D26),ROUND(30*(E26+0.5*calc!$AT$2/60)/(E26-E27),1),ROUND(30+30*(E26+0.5*calc!$AT$2/60)/(E26-E27),1)),"")</f>
        <v/>
      </c>
      <c r="L27" s="4" t="str">
        <f aca="false">IF(H27&lt;&gt;"",H27&amp;":"&amp;IF(I27&gt;=10,I27,"0"&amp;I27),"")</f>
        <v>12:28,4</v>
      </c>
      <c r="M27" s="4" t="str">
        <f aca="false">IF(J27&lt;&gt;"",J27&amp;":"&amp;IF(K27&gt;=10,K27,"0"&amp;K27),"")</f>
        <v/>
      </c>
      <c r="N27" s="62" t="str">
        <f aca="false">IF(AND(E26&lt;E27,E28&lt;E27),D27+0.25*(E28-E26)/(2*E27-E26-E28),"")</f>
        <v/>
      </c>
      <c r="O27" s="6" t="str">
        <f aca="false">IF(N27&lt;&gt;"",INT(N27)&amp;":"&amp;IF(ROUND(60*MOD(D27+0.25*(E28-E26)/(2*E27-E26-E28),1),1)&gt;=10,ROUND(60*MOD(D27+0.25*(E28-E26)/(2*E27-E26-E28),1),1),"0"&amp;ROUND(60*MOD(D27+0.25*(E28-E26)/(2*E27-E26-E28),1),1)),"")</f>
        <v/>
      </c>
      <c r="P27" s="34" t="str">
        <f aca="false">IF(AND(F26&lt;180,F27&gt;180),D27-0.5*(F27-180)/(F27-F26),"")</f>
        <v/>
      </c>
      <c r="Q27" s="6" t="str">
        <f aca="false">IF(P27&lt;&gt;"",INT(P27)&amp;":"&amp;IF(ROUND(60*MOD(P27,1),1)&gt;=10,ROUND(60*MOD(P27,1),1),"0"&amp;ROUND(60*MOD(P27,1),1)),"")</f>
        <v/>
      </c>
      <c r="R27" s="4" t="n">
        <v>180</v>
      </c>
    </row>
    <row r="28" customFormat="false" ht="15" hidden="false" customHeight="false" outlineLevel="0" collapsed="false">
      <c r="D28" s="34" t="n">
        <f aca="false">calc!$A$28</f>
        <v>13</v>
      </c>
      <c r="E28" s="63" t="n">
        <f aca="false">calc!$G$28</f>
        <v>4.2390339251179</v>
      </c>
      <c r="F28" s="64" t="n">
        <f aca="false">calc!$I$28</f>
        <v>107.630278345382</v>
      </c>
      <c r="G28" s="48" t="n">
        <f aca="false">calc!$H$28</f>
        <v>60.3731235439535</v>
      </c>
      <c r="H28" s="2" t="str">
        <f aca="false">IF(IF(AND(E28+0.5*calc!$AT$3/60&gt;0,E27+0.5*calc!$AT$2/60&lt;0),TRUE()),INT(D27),"")</f>
        <v/>
      </c>
      <c r="I28" s="59" t="str">
        <f aca="false">IF(IF(AND(E28+0.5*calc!$AT$3/60&gt;0,E27+0.5*calc!$AT$2/60&lt;0),TRUE()),IF(D27=INT(D27),ROUND(-30*(E27+0.5*calc!$AT$2/60)/(-E27+E28),1),ROUND(30-30*(E27+0.5*calc!$AT$2/60)/(-E27+E28),1)),"")</f>
        <v/>
      </c>
      <c r="J28" s="2" t="str">
        <f aca="false">IF(IF(AND(E28+0.5*calc!$AT$3/60&lt;0,E27+0.5*calc!$AT$2/60&gt;0),TRUE()),INT(D27),"")</f>
        <v/>
      </c>
      <c r="K28" s="2" t="str">
        <f aca="false">IF(IF(AND(E28+0.5*calc!$AT$3/60&lt;0,E27+0.5*calc!$AT$2/60&gt;0),TRUE()),IF(D27=INT(D27),ROUND(30*(E27+0.5*calc!$AT$2/60)/(E27-E28),1),ROUND(30+30*(E27+0.5*calc!$AT$2/60)/(E27-E28),1)),"")</f>
        <v/>
      </c>
      <c r="L28" s="4" t="str">
        <f aca="false">IF(H28&lt;&gt;"",H28&amp;":"&amp;IF(I28&gt;=10,I28,"0"&amp;I28),"")</f>
        <v/>
      </c>
      <c r="M28" s="4" t="str">
        <f aca="false">IF(J28&lt;&gt;"",J28&amp;":"&amp;IF(K28&gt;=10,K28,"0"&amp;K28),"")</f>
        <v/>
      </c>
      <c r="N28" s="62" t="str">
        <f aca="false">IF(AND(E27&lt;E28,E29&lt;E28),D28+0.25*(E29-E27)/(2*E28-E27-E29),"")</f>
        <v/>
      </c>
      <c r="O28" s="6" t="str">
        <f aca="false">IF(N28&lt;&gt;"",INT(N28)&amp;":"&amp;IF(ROUND(60*MOD(D28+0.25*(E29-E27)/(2*E28-E27-E29),1),1)&gt;=10,ROUND(60*MOD(D28+0.25*(E29-E27)/(2*E28-E27-E29),1),1),"0"&amp;ROUND(60*MOD(D28+0.25*(E29-E27)/(2*E28-E27-E29),1),1)),"")</f>
        <v/>
      </c>
      <c r="P28" s="34" t="str">
        <f aca="false">IF(AND(F27&lt;180,F28&gt;180),D28-0.5*(F28-180)/(F28-F27),"")</f>
        <v/>
      </c>
      <c r="Q28" s="6" t="str">
        <f aca="false">IF(P28&lt;&gt;"",INT(P28)&amp;":"&amp;IF(ROUND(60*MOD(P28,1),1)&gt;=10,ROUND(60*MOD(P28,1),1),"0"&amp;ROUND(60*MOD(P28,1),1)),"")</f>
        <v/>
      </c>
      <c r="R28" s="4" t="n">
        <v>180</v>
      </c>
    </row>
    <row r="29" customFormat="false" ht="15" hidden="false" customHeight="false" outlineLevel="0" collapsed="false">
      <c r="D29" s="34" t="n">
        <f aca="false">calc!$A$29</f>
        <v>13.5</v>
      </c>
      <c r="E29" s="63" t="n">
        <f aca="false">calc!$G$29</f>
        <v>8.6392394009984</v>
      </c>
      <c r="F29" s="64" t="n">
        <f aca="false">calc!$I$29</f>
        <v>113.329610636236</v>
      </c>
      <c r="G29" s="48" t="n">
        <f aca="false">calc!$H$29</f>
        <v>60.5961695533249</v>
      </c>
      <c r="H29" s="2" t="str">
        <f aca="false">IF(IF(AND(E29+0.5*calc!$AT$3/60&gt;0,E28+0.5*calc!$AT$2/60&lt;0),TRUE()),INT(D28),"")</f>
        <v/>
      </c>
      <c r="I29" s="59" t="str">
        <f aca="false">IF(IF(AND(E29+0.5*calc!$AT$3/60&gt;0,E28+0.5*calc!$AT$2/60&lt;0),TRUE()),IF(D28=INT(D28),ROUND(-30*(E28+0.5*calc!$AT$2/60)/(-E28+E29),1),ROUND(30-30*(E28+0.5*calc!$AT$2/60)/(-E28+E29),1)),"")</f>
        <v/>
      </c>
      <c r="J29" s="2" t="str">
        <f aca="false">IF(IF(AND(E29+0.5*calc!$AT$3/60&lt;0,E28+0.5*calc!$AT$2/60&gt;0),TRUE()),INT(D28),"")</f>
        <v/>
      </c>
      <c r="K29" s="2" t="str">
        <f aca="false">IF(IF(AND(E29+0.5*calc!$AT$3/60&lt;0,E28+0.5*calc!$AT$2/60&gt;0),TRUE()),IF(D28=INT(D28),ROUND(30*(E28+0.5*calc!$AT$2/60)/(E28-E29),1),ROUND(30+30*(E28+0.5*calc!$AT$2/60)/(E28-E29),1)),"")</f>
        <v/>
      </c>
      <c r="L29" s="4" t="str">
        <f aca="false">IF(H29&lt;&gt;"",H29&amp;":"&amp;IF(I29&gt;=10,I29,"0"&amp;I29),"")</f>
        <v/>
      </c>
      <c r="M29" s="4" t="str">
        <f aca="false">IF(J29&lt;&gt;"",J29&amp;":"&amp;IF(K29&gt;=10,K29,"0"&amp;K29),"")</f>
        <v/>
      </c>
      <c r="N29" s="62" t="str">
        <f aca="false">IF(AND(E28&lt;E29,E30&lt;E29),D29+0.25*(E30-E28)/(2*E29-E28-E30),"")</f>
        <v/>
      </c>
      <c r="O29" s="6" t="str">
        <f aca="false">IF(N29&lt;&gt;"",INT(N29)&amp;":"&amp;IF(ROUND(60*MOD(D29+0.25*(E30-E28)/(2*E29-E28-E30),1),1)&gt;=10,ROUND(60*MOD(D29+0.25*(E30-E28)/(2*E29-E28-E30),1),1),"0"&amp;ROUND(60*MOD(D29+0.25*(E30-E28)/(2*E29-E28-E30),1),1)),"")</f>
        <v/>
      </c>
      <c r="P29" s="34" t="str">
        <f aca="false">IF(AND(F28&lt;180,F29&gt;180),D29-0.5*(F29-180)/(F29-F28),"")</f>
        <v/>
      </c>
      <c r="Q29" s="6" t="str">
        <f aca="false">IF(P29&lt;&gt;"",INT(P29)&amp;":"&amp;IF(ROUND(60*MOD(P29,1),1)&gt;=10,ROUND(60*MOD(P29,1),1),"0"&amp;ROUND(60*MOD(P29,1),1)),"")</f>
        <v/>
      </c>
      <c r="R29" s="4" t="n">
        <v>180</v>
      </c>
    </row>
    <row r="30" customFormat="false" ht="15" hidden="false" customHeight="false" outlineLevel="0" collapsed="false">
      <c r="D30" s="34" t="n">
        <f aca="false">calc!$A$30</f>
        <v>14</v>
      </c>
      <c r="E30" s="63" t="n">
        <f aca="false">calc!$G$30</f>
        <v>12.9106608104844</v>
      </c>
      <c r="F30" s="64" t="n">
        <f aca="false">calc!$I$30</f>
        <v>119.249454147782</v>
      </c>
      <c r="G30" s="48" t="n">
        <f aca="false">calc!$H$30</f>
        <v>60.8188898877907</v>
      </c>
      <c r="H30" s="2" t="str">
        <f aca="false">IF(IF(AND(E30+0.5*calc!$AT$3/60&gt;0,E29+0.5*calc!$AT$2/60&lt;0),TRUE()),INT(D29),"")</f>
        <v/>
      </c>
      <c r="I30" s="59" t="str">
        <f aca="false">IF(IF(AND(E30+0.5*calc!$AT$3/60&gt;0,E29+0.5*calc!$AT$2/60&lt;0),TRUE()),IF(D29=INT(D29),ROUND(-30*(E29+0.5*calc!$AT$2/60)/(-E29+E30),1),ROUND(30-30*(E29+0.5*calc!$AT$2/60)/(-E29+E30),1)),"")</f>
        <v/>
      </c>
      <c r="J30" s="2" t="str">
        <f aca="false">IF(IF(AND(E30+0.5*calc!$AT$3/60&lt;0,E29+0.5*calc!$AT$2/60&gt;0),TRUE()),INT(D29),"")</f>
        <v/>
      </c>
      <c r="K30" s="2" t="str">
        <f aca="false">IF(IF(AND(E30+0.5*calc!$AT$3/60&lt;0,E29+0.5*calc!$AT$2/60&gt;0),TRUE()),IF(D29=INT(D29),ROUND(30*(E29+0.5*calc!$AT$2/60)/(E29-E30),1),ROUND(30+30*(E29+0.5*calc!$AT$2/60)/(E29-E30),1)),"")</f>
        <v/>
      </c>
      <c r="L30" s="4" t="str">
        <f aca="false">IF(H30&lt;&gt;"",H30&amp;":"&amp;IF(I30&gt;=10,I30,"0"&amp;I30),"")</f>
        <v/>
      </c>
      <c r="M30" s="4" t="str">
        <f aca="false">IF(J30&lt;&gt;"",J30&amp;":"&amp;IF(K30&gt;=10,K30,"0"&amp;K30),"")</f>
        <v/>
      </c>
      <c r="N30" s="62" t="str">
        <f aca="false">IF(AND(E29&lt;E30,E31&lt;E30),D30+0.25*(E31-E29)/(2*E30-E29-E31),"")</f>
        <v/>
      </c>
      <c r="O30" s="6" t="str">
        <f aca="false">IF(N30&lt;&gt;"",INT(N30)&amp;":"&amp;IF(ROUND(60*MOD(D30+0.25*(E31-E29)/(2*E30-E29-E31),1),1)&gt;=10,ROUND(60*MOD(D30+0.25*(E31-E29)/(2*E30-E29-E31),1),1),"0"&amp;ROUND(60*MOD(D30+0.25*(E31-E29)/(2*E30-E29-E31),1),1)),"")</f>
        <v/>
      </c>
      <c r="P30" s="34" t="str">
        <f aca="false">IF(AND(F29&lt;180,F30&gt;180),D30-0.5*(F30-180)/(F30-F29),"")</f>
        <v/>
      </c>
      <c r="Q30" s="6" t="str">
        <f aca="false">IF(P30&lt;&gt;"",INT(P30)&amp;":"&amp;IF(ROUND(60*MOD(P30,1),1)&gt;=10,ROUND(60*MOD(P30,1),1),"0"&amp;ROUND(60*MOD(P30,1),1)),"")</f>
        <v/>
      </c>
      <c r="R30" s="4" t="n">
        <v>180</v>
      </c>
    </row>
    <row r="31" customFormat="false" ht="15" hidden="false" customHeight="false" outlineLevel="0" collapsed="false">
      <c r="D31" s="34" t="n">
        <f aca="false">calc!$A$31</f>
        <v>14.5</v>
      </c>
      <c r="E31" s="63" t="n">
        <f aca="false">calc!$G$31</f>
        <v>16.9633236693041</v>
      </c>
      <c r="F31" s="64" t="n">
        <f aca="false">calc!$I$31</f>
        <v>125.454084767088</v>
      </c>
      <c r="G31" s="48" t="n">
        <f aca="false">calc!$H$31</f>
        <v>61.0412803773109</v>
      </c>
      <c r="H31" s="2" t="str">
        <f aca="false">IF(IF(AND(E31+0.5*calc!$AT$3/60&gt;0,E30+0.5*calc!$AT$2/60&lt;0),TRUE()),INT(D30),"")</f>
        <v/>
      </c>
      <c r="I31" s="59" t="str">
        <f aca="false">IF(IF(AND(E31+0.5*calc!$AT$3/60&gt;0,E30+0.5*calc!$AT$2/60&lt;0),TRUE()),IF(D30=INT(D30),ROUND(-30*(E30+0.5*calc!$AT$2/60)/(-E30+E31),1),ROUND(30-30*(E30+0.5*calc!$AT$2/60)/(-E30+E31),1)),"")</f>
        <v/>
      </c>
      <c r="J31" s="2" t="str">
        <f aca="false">IF(IF(AND(E31+0.5*calc!$AT$3/60&lt;0,E30+0.5*calc!$AT$2/60&gt;0),TRUE()),INT(D30),"")</f>
        <v/>
      </c>
      <c r="K31" s="2" t="str">
        <f aca="false">IF(IF(AND(E31+0.5*calc!$AT$3/60&lt;0,E30+0.5*calc!$AT$2/60&gt;0),TRUE()),IF(D30=INT(D30),ROUND(30*(E30+0.5*calc!$AT$2/60)/(E30-E31),1),ROUND(30+30*(E30+0.5*calc!$AT$2/60)/(E30-E31),1)),"")</f>
        <v/>
      </c>
      <c r="L31" s="4" t="str">
        <f aca="false">IF(H31&lt;&gt;"",H31&amp;":"&amp;IF(I31&gt;=10,I31,"0"&amp;I31),"")</f>
        <v/>
      </c>
      <c r="M31" s="4" t="str">
        <f aca="false">IF(J31&lt;&gt;"",J31&amp;":"&amp;IF(K31&gt;=10,K31,"0"&amp;K31),"")</f>
        <v/>
      </c>
      <c r="N31" s="62" t="str">
        <f aca="false">IF(AND(E30&lt;E31,E32&lt;E31),D31+0.25*(E32-E30)/(2*E31-E30-E32),"")</f>
        <v/>
      </c>
      <c r="O31" s="6" t="str">
        <f aca="false">IF(N31&lt;&gt;"",INT(N31)&amp;":"&amp;IF(ROUND(60*MOD(D31+0.25*(E32-E30)/(2*E31-E30-E32),1),1)&gt;=10,ROUND(60*MOD(D31+0.25*(E32-E30)/(2*E31-E30-E32),1),1),"0"&amp;ROUND(60*MOD(D31+0.25*(E32-E30)/(2*E31-E30-E32),1),1)),"")</f>
        <v/>
      </c>
      <c r="P31" s="34" t="str">
        <f aca="false">IF(AND(F30&lt;180,F31&gt;180),D31-0.5*(F31-180)/(F31-F30),"")</f>
        <v/>
      </c>
      <c r="Q31" s="6" t="str">
        <f aca="false">IF(P31&lt;&gt;"",INT(P31)&amp;":"&amp;IF(ROUND(60*MOD(P31,1),1)&gt;=10,ROUND(60*MOD(P31,1),1),"0"&amp;ROUND(60*MOD(P31,1),1)),"")</f>
        <v/>
      </c>
      <c r="R31" s="4" t="n">
        <v>180</v>
      </c>
    </row>
    <row r="32" customFormat="false" ht="15" hidden="false" customHeight="false" outlineLevel="0" collapsed="false">
      <c r="D32" s="34" t="n">
        <f aca="false">calc!$A$32</f>
        <v>15</v>
      </c>
      <c r="E32" s="63" t="n">
        <f aca="false">calc!$G$32</f>
        <v>20.7273160358039</v>
      </c>
      <c r="F32" s="64" t="n">
        <f aca="false">calc!$I$32</f>
        <v>132.002155280216</v>
      </c>
      <c r="G32" s="48" t="n">
        <f aca="false">calc!$H$32</f>
        <v>61.2633368850884</v>
      </c>
      <c r="H32" s="2" t="str">
        <f aca="false">IF(IF(AND(E32+0.5*calc!$AT$3/60&gt;0,E31+0.5*calc!$AT$2/60&lt;0),TRUE()),INT(D31),"")</f>
        <v/>
      </c>
      <c r="I32" s="59" t="str">
        <f aca="false">IF(IF(AND(E32+0.5*calc!$AT$3/60&gt;0,E31+0.5*calc!$AT$2/60&lt;0),TRUE()),IF(D31=INT(D31),ROUND(-30*(E31+0.5*calc!$AT$2/60)/(-E31+E32),1),ROUND(30-30*(E31+0.5*calc!$AT$2/60)/(-E31+E32),1)),"")</f>
        <v/>
      </c>
      <c r="J32" s="2" t="str">
        <f aca="false">IF(IF(AND(E32+0.5*calc!$AT$3/60&lt;0,E31+0.5*calc!$AT$2/60&gt;0),TRUE()),INT(D31),"")</f>
        <v/>
      </c>
      <c r="K32" s="2" t="str">
        <f aca="false">IF(IF(AND(E32+0.5*calc!$AT$3/60&lt;0,E31+0.5*calc!$AT$2/60&gt;0),TRUE()),IF(D31=INT(D31),ROUND(30*(E31+0.5*calc!$AT$2/60)/(E31-E32),1),ROUND(30+30*(E31+0.5*calc!$AT$2/60)/(E31-E32),1)),"")</f>
        <v/>
      </c>
      <c r="L32" s="4" t="str">
        <f aca="false">IF(H32&lt;&gt;"",H32&amp;":"&amp;IF(I32&gt;=10,I32,"0"&amp;I32),"")</f>
        <v/>
      </c>
      <c r="M32" s="4" t="str">
        <f aca="false">IF(J32&lt;&gt;"",J32&amp;":"&amp;IF(K32&gt;=10,K32,"0"&amp;K32),"")</f>
        <v/>
      </c>
      <c r="N32" s="62" t="str">
        <f aca="false">IF(AND(E31&lt;E32,E33&lt;E32),D32+0.25*(E33-E31)/(2*E32-E31-E33),"")</f>
        <v/>
      </c>
      <c r="O32" s="6" t="str">
        <f aca="false">IF(N32&lt;&gt;"",INT(N32)&amp;":"&amp;IF(ROUND(60*MOD(D32+0.25*(E33-E31)/(2*E32-E31-E33),1),1)&gt;=10,ROUND(60*MOD(D32+0.25*(E33-E31)/(2*E32-E31-E33),1),1),"0"&amp;ROUND(60*MOD(D32+0.25*(E33-E31)/(2*E32-E31-E33),1),1)),"")</f>
        <v/>
      </c>
      <c r="P32" s="34" t="str">
        <f aca="false">IF(AND(F31&lt;180,F32&gt;180),D32-0.5*(F32-180)/(F32-F31),"")</f>
        <v/>
      </c>
      <c r="Q32" s="6" t="str">
        <f aca="false">IF(P32&lt;&gt;"",INT(P32)&amp;":"&amp;IF(ROUND(60*MOD(P32,1),1)&gt;=10,ROUND(60*MOD(P32,1),1),"0"&amp;ROUND(60*MOD(P32,1),1)),"")</f>
        <v/>
      </c>
      <c r="R32" s="4" t="n">
        <v>180</v>
      </c>
    </row>
    <row r="33" customFormat="false" ht="15" hidden="false" customHeight="false" outlineLevel="0" collapsed="false">
      <c r="D33" s="34" t="n">
        <f aca="false">calc!$A$33</f>
        <v>15.5</v>
      </c>
      <c r="E33" s="63" t="n">
        <f aca="false">calc!$G$33</f>
        <v>24.1318263690166</v>
      </c>
      <c r="F33" s="64" t="n">
        <f aca="false">calc!$I$33</f>
        <v>138.941656709553</v>
      </c>
      <c r="G33" s="48" t="n">
        <f aca="false">calc!$H$33</f>
        <v>61.4850552777695</v>
      </c>
      <c r="H33" s="2" t="str">
        <f aca="false">IF(IF(AND(E33+0.5*calc!$AT$3/60&gt;0,E32+0.5*calc!$AT$2/60&lt;0),TRUE()),INT(D32),"")</f>
        <v/>
      </c>
      <c r="I33" s="59" t="str">
        <f aca="false">IF(IF(AND(E33+0.5*calc!$AT$3/60&gt;0,E32+0.5*calc!$AT$2/60&lt;0),TRUE()),IF(D32=INT(D32),ROUND(-30*(E32+0.5*calc!$AT$2/60)/(-E32+E33),1),ROUND(30-30*(E32+0.5*calc!$AT$2/60)/(-E32+E33),1)),"")</f>
        <v/>
      </c>
      <c r="J33" s="2" t="str">
        <f aca="false">IF(IF(AND(E33+0.5*calc!$AT$3/60&lt;0,E32+0.5*calc!$AT$2/60&gt;0),TRUE()),INT(D32),"")</f>
        <v/>
      </c>
      <c r="K33" s="2" t="str">
        <f aca="false">IF(IF(AND(E33+0.5*calc!$AT$3/60&lt;0,E32+0.5*calc!$AT$2/60&gt;0),TRUE()),IF(D32=INT(D32),ROUND(30*(E32+0.5*calc!$AT$2/60)/(E32-E33),1),ROUND(30+30*(E32+0.5*calc!$AT$2/60)/(E32-E33),1)),"")</f>
        <v/>
      </c>
      <c r="L33" s="4" t="str">
        <f aca="false">IF(H33&lt;&gt;"",H33&amp;":"&amp;IF(I33&gt;=10,I33,"0"&amp;I33),"")</f>
        <v/>
      </c>
      <c r="M33" s="4" t="str">
        <f aca="false">IF(J33&lt;&gt;"",J33&amp;":"&amp;IF(K33&gt;=10,K33,"0"&amp;K33),"")</f>
        <v/>
      </c>
      <c r="N33" s="62" t="str">
        <f aca="false">IF(AND(E32&lt;E33,E34&lt;E33),D33+0.25*(E34-E32)/(2*E33-E32-E34),"")</f>
        <v/>
      </c>
      <c r="O33" s="6" t="str">
        <f aca="false">IF(N33&lt;&gt;"",INT(N33)&amp;":"&amp;IF(ROUND(60*MOD(D33+0.25*(E34-E32)/(2*E33-E32-E34),1),1)&gt;=10,ROUND(60*MOD(D33+0.25*(E34-E32)/(2*E33-E32-E34),1),1),"0"&amp;ROUND(60*MOD(D33+0.25*(E34-E32)/(2*E33-E32-E34),1),1)),"")</f>
        <v/>
      </c>
      <c r="P33" s="34" t="str">
        <f aca="false">IF(AND(F32&lt;180,F33&gt;180),D33-0.5*(F33-180)/(F33-F32),"")</f>
        <v/>
      </c>
      <c r="Q33" s="6" t="str">
        <f aca="false">IF(P33&lt;&gt;"",INT(P33)&amp;":"&amp;IF(ROUND(60*MOD(P33,1),1)&gt;=10,ROUND(60*MOD(P33,1),1),"0"&amp;ROUND(60*MOD(P33,1),1)),"")</f>
        <v/>
      </c>
      <c r="R33" s="4" t="n">
        <v>180</v>
      </c>
    </row>
    <row r="34" customFormat="false" ht="15" hidden="false" customHeight="false" outlineLevel="0" collapsed="false">
      <c r="D34" s="34" t="n">
        <f aca="false">calc!$A$34</f>
        <v>16</v>
      </c>
      <c r="E34" s="63" t="n">
        <f aca="false">calc!$G$34</f>
        <v>27.1022574740589</v>
      </c>
      <c r="F34" s="64" t="n">
        <f aca="false">calc!$I$34</f>
        <v>146.302318909582</v>
      </c>
      <c r="G34" s="48" t="n">
        <f aca="false">calc!$H$34</f>
        <v>61.7064314402771</v>
      </c>
      <c r="H34" s="2" t="str">
        <f aca="false">IF(IF(AND(E34+0.5*calc!$AT$3/60&gt;0,E33+0.5*calc!$AT$2/60&lt;0),TRUE()),INT(D33),"")</f>
        <v/>
      </c>
      <c r="I34" s="59" t="str">
        <f aca="false">IF(IF(AND(E34+0.5*calc!$AT$3/60&gt;0,E33+0.5*calc!$AT$2/60&lt;0),TRUE()),IF(D33=INT(D33),ROUND(-30*(E33+0.5*calc!$AT$2/60)/(-E33+E34),1),ROUND(30-30*(E33+0.5*calc!$AT$2/60)/(-E33+E34),1)),"")</f>
        <v/>
      </c>
      <c r="J34" s="2" t="str">
        <f aca="false">IF(IF(AND(E34+0.5*calc!$AT$3/60&lt;0,E33+0.5*calc!$AT$2/60&gt;0),TRUE()),INT(D33),"")</f>
        <v/>
      </c>
      <c r="K34" s="2" t="str">
        <f aca="false">IF(IF(AND(E34+0.5*calc!$AT$3/60&lt;0,E33+0.5*calc!$AT$2/60&gt;0),TRUE()),IF(D33=INT(D33),ROUND(30*(E33+0.5*calc!$AT$2/60)/(E33-E34),1),ROUND(30+30*(E33+0.5*calc!$AT$2/60)/(E33-E34),1)),"")</f>
        <v/>
      </c>
      <c r="L34" s="4" t="str">
        <f aca="false">IF(H34&lt;&gt;"",H34&amp;":"&amp;IF(I34&gt;=10,I34,"0"&amp;I34),"")</f>
        <v/>
      </c>
      <c r="M34" s="4" t="str">
        <f aca="false">IF(J34&lt;&gt;"",J34&amp;":"&amp;IF(K34&gt;=10,K34,"0"&amp;K34),"")</f>
        <v/>
      </c>
      <c r="N34" s="62" t="str">
        <f aca="false">IF(AND(E33&lt;E34,E35&lt;E34),D34+0.25*(E35-E33)/(2*E34-E33-E35),"")</f>
        <v/>
      </c>
      <c r="O34" s="6" t="str">
        <f aca="false">IF(N34&lt;&gt;"",INT(N34)&amp;":"&amp;IF(ROUND(60*MOD(D34+0.25*(E35-E33)/(2*E34-E33-E35),1),1)&gt;=10,ROUND(60*MOD(D34+0.25*(E35-E33)/(2*E34-E33-E35),1),1),"0"&amp;ROUND(60*MOD(D34+0.25*(E35-E33)/(2*E34-E33-E35),1),1)),"")</f>
        <v/>
      </c>
      <c r="P34" s="34" t="str">
        <f aca="false">IF(AND(F33&lt;180,F34&gt;180),D34-0.5*(F34-180)/(F34-F33),"")</f>
        <v/>
      </c>
      <c r="Q34" s="6" t="str">
        <f aca="false">IF(P34&lt;&gt;"",INT(P34)&amp;":"&amp;IF(ROUND(60*MOD(P34,1),1)&gt;=10,ROUND(60*MOD(P34,1),1),"0"&amp;ROUND(60*MOD(P34,1),1)),"")</f>
        <v/>
      </c>
      <c r="R34" s="4" t="n">
        <v>180</v>
      </c>
    </row>
    <row r="35" customFormat="false" ht="15" hidden="false" customHeight="false" outlineLevel="0" collapsed="false">
      <c r="D35" s="34" t="n">
        <f aca="false">calc!$A$35</f>
        <v>16.5</v>
      </c>
      <c r="E35" s="63" t="n">
        <f aca="false">calc!$G$35</f>
        <v>29.5620280800615</v>
      </c>
      <c r="F35" s="64" t="n">
        <f aca="false">calc!$I$35</f>
        <v>154.08599239531</v>
      </c>
      <c r="G35" s="48" t="n">
        <f aca="false">calc!$H$35</f>
        <v>61.9274612906985</v>
      </c>
      <c r="H35" s="2" t="str">
        <f aca="false">IF(IF(AND(E35+0.5*calc!$AT$3/60&gt;0,E34+0.5*calc!$AT$2/60&lt;0),TRUE()),INT(D34),"")</f>
        <v/>
      </c>
      <c r="I35" s="59" t="str">
        <f aca="false">IF(IF(AND(E35+0.5*calc!$AT$3/60&gt;0,E34+0.5*calc!$AT$2/60&lt;0),TRUE()),IF(D34=INT(D34),ROUND(-30*(E34+0.5*calc!$AT$2/60)/(-E34+E35),1),ROUND(30-30*(E34+0.5*calc!$AT$2/60)/(-E34+E35),1)),"")</f>
        <v/>
      </c>
      <c r="J35" s="2" t="str">
        <f aca="false">IF(IF(AND(E35+0.5*calc!$AT$3/60&lt;0,E34+0.5*calc!$AT$2/60&gt;0),TRUE()),INT(D34),"")</f>
        <v/>
      </c>
      <c r="K35" s="2" t="str">
        <f aca="false">IF(IF(AND(E35+0.5*calc!$AT$3/60&lt;0,E34+0.5*calc!$AT$2/60&gt;0),TRUE()),IF(D34=INT(D34),ROUND(30*(E34+0.5*calc!$AT$2/60)/(E34-E35),1),ROUND(30+30*(E34+0.5*calc!$AT$2/60)/(E34-E35),1)),"")</f>
        <v/>
      </c>
      <c r="L35" s="4" t="str">
        <f aca="false">IF(H35&lt;&gt;"",H35&amp;":"&amp;IF(I35&gt;=10,I35,"0"&amp;I35),"")</f>
        <v/>
      </c>
      <c r="M35" s="4" t="str">
        <f aca="false">IF(J35&lt;&gt;"",J35&amp;":"&amp;IF(K35&gt;=10,K35,"0"&amp;K35),"")</f>
        <v/>
      </c>
      <c r="N35" s="62" t="str">
        <f aca="false">IF(AND(E34&lt;E35,E36&lt;E35),D35+0.25*(E36-E34)/(2*E35-E34-E36),"")</f>
        <v/>
      </c>
      <c r="O35" s="6" t="str">
        <f aca="false">IF(N35&lt;&gt;"",INT(N35)&amp;":"&amp;IF(ROUND(60*MOD(D35+0.25*(E36-E34)/(2*E35-E34-E36),1),1)&gt;=10,ROUND(60*MOD(D35+0.25*(E36-E34)/(2*E35-E34-E36),1),1),"0"&amp;ROUND(60*MOD(D35+0.25*(E36-E34)/(2*E35-E34-E36),1),1)),"")</f>
        <v/>
      </c>
      <c r="P35" s="34" t="str">
        <f aca="false">IF(AND(F34&lt;180,F35&gt;180),D35-0.5*(F35-180)/(F35-F34),"")</f>
        <v/>
      </c>
      <c r="Q35" s="6" t="str">
        <f aca="false">IF(P35&lt;&gt;"",INT(P35)&amp;":"&amp;IF(ROUND(60*MOD(P35,1),1)&gt;=10,ROUND(60*MOD(P35,1),1),"0"&amp;ROUND(60*MOD(P35,1),1)),"")</f>
        <v/>
      </c>
      <c r="R35" s="4" t="n">
        <v>180</v>
      </c>
    </row>
    <row r="36" customFormat="false" ht="15" hidden="false" customHeight="false" outlineLevel="0" collapsed="false">
      <c r="D36" s="34" t="n">
        <f aca="false">calc!$A$36</f>
        <v>17</v>
      </c>
      <c r="E36" s="63" t="n">
        <f aca="false">calc!$G$36</f>
        <v>31.4373702915026</v>
      </c>
      <c r="F36" s="64" t="n">
        <f aca="false">calc!$I$36</f>
        <v>162.257022369434</v>
      </c>
      <c r="G36" s="48" t="n">
        <f aca="false">calc!$H$36</f>
        <v>62.1481407505263</v>
      </c>
      <c r="H36" s="2" t="str">
        <f aca="false">IF(IF(AND(E36+0.5*calc!$AT$3/60&gt;0,E35+0.5*calc!$AT$2/60&lt;0),TRUE()),INT(D35),"")</f>
        <v/>
      </c>
      <c r="I36" s="59" t="str">
        <f aca="false">IF(IF(AND(E36+0.5*calc!$AT$3/60&gt;0,E35+0.5*calc!$AT$2/60&lt;0),TRUE()),IF(D35=INT(D35),ROUND(-30*(E35+0.5*calc!$AT$2/60)/(-E35+E36),1),ROUND(30-30*(E35+0.5*calc!$AT$2/60)/(-E35+E36),1)),"")</f>
        <v/>
      </c>
      <c r="J36" s="2" t="str">
        <f aca="false">IF(IF(AND(E36+0.5*calc!$AT$3/60&lt;0,E35+0.5*calc!$AT$2/60&gt;0),TRUE()),INT(D35),"")</f>
        <v/>
      </c>
      <c r="K36" s="2" t="str">
        <f aca="false">IF(IF(AND(E36+0.5*calc!$AT$3/60&lt;0,E35+0.5*calc!$AT$2/60&gt;0),TRUE()),IF(D35=INT(D35),ROUND(30*(E35+0.5*calc!$AT$2/60)/(E35-E36),1),ROUND(30+30*(E35+0.5*calc!$AT$2/60)/(E35-E36),1)),"")</f>
        <v/>
      </c>
      <c r="L36" s="4" t="str">
        <f aca="false">IF(H36&lt;&gt;"",H36&amp;":"&amp;IF(I36&gt;=10,I36,"0"&amp;I36),"")</f>
        <v/>
      </c>
      <c r="M36" s="4" t="str">
        <f aca="false">IF(J36&lt;&gt;"",J36&amp;":"&amp;IF(K36&gt;=10,K36,"0"&amp;K36),"")</f>
        <v/>
      </c>
      <c r="N36" s="62" t="str">
        <f aca="false">IF(AND(E35&lt;E36,E37&lt;E36),D36+0.25*(E37-E35)/(2*E36-E35-E37),"")</f>
        <v/>
      </c>
      <c r="O36" s="6" t="str">
        <f aca="false">IF(N36&lt;&gt;"",INT(N36)&amp;":"&amp;IF(ROUND(60*MOD(D36+0.25*(E37-E35)/(2*E36-E35-E37),1),1)&gt;=10,ROUND(60*MOD(D36+0.25*(E37-E35)/(2*E36-E35-E37),1),1),"0"&amp;ROUND(60*MOD(D36+0.25*(E37-E35)/(2*E36-E35-E37),1),1)),"")</f>
        <v/>
      </c>
      <c r="P36" s="34" t="str">
        <f aca="false">IF(AND(F35&lt;180,F36&gt;180),D36-0.5*(F36-180)/(F36-F35),"")</f>
        <v/>
      </c>
      <c r="Q36" s="6" t="str">
        <f aca="false">IF(P36&lt;&gt;"",INT(P36)&amp;":"&amp;IF(ROUND(60*MOD(P36,1),1)&gt;=10,ROUND(60*MOD(P36,1),1),"0"&amp;ROUND(60*MOD(P36,1),1)),"")</f>
        <v/>
      </c>
      <c r="R36" s="4" t="n">
        <v>180</v>
      </c>
    </row>
    <row r="37" customFormat="false" ht="15" hidden="false" customHeight="false" outlineLevel="0" collapsed="false">
      <c r="D37" s="34" t="n">
        <f aca="false">calc!$A$37</f>
        <v>17.5</v>
      </c>
      <c r="E37" s="63" t="n">
        <f aca="false">calc!$G$37</f>
        <v>32.6645090031419</v>
      </c>
      <c r="F37" s="64" t="n">
        <f aca="false">calc!$I$37</f>
        <v>170.736379342595</v>
      </c>
      <c r="G37" s="48" t="n">
        <f aca="false">calc!$H$37</f>
        <v>62.3684657595535</v>
      </c>
      <c r="H37" s="2" t="str">
        <f aca="false">IF(IF(AND(E37+0.5*calc!$AT$3/60&gt;0,E36+0.5*calc!$AT$2/60&lt;0),TRUE()),INT(D36),"")</f>
        <v/>
      </c>
      <c r="I37" s="59" t="str">
        <f aca="false">IF(IF(AND(E37+0.5*calc!$AT$3/60&gt;0,E36+0.5*calc!$AT$2/60&lt;0),TRUE()),IF(D36=INT(D36),ROUND(-30*(E36+0.5*calc!$AT$2/60)/(-E36+E37),1),ROUND(30-30*(E36+0.5*calc!$AT$2/60)/(-E36+E37),1)),"")</f>
        <v/>
      </c>
      <c r="J37" s="2" t="str">
        <f aca="false">IF(IF(AND(E37+0.5*calc!$AT$3/60&lt;0,E36+0.5*calc!$AT$2/60&gt;0),TRUE()),INT(D36),"")</f>
        <v/>
      </c>
      <c r="K37" s="2" t="str">
        <f aca="false">IF(IF(AND(E37+0.5*calc!$AT$3/60&lt;0,E36+0.5*calc!$AT$2/60&gt;0),TRUE()),IF(D36=INT(D36),ROUND(30*(E36+0.5*calc!$AT$2/60)/(E36-E37),1),ROUND(30+30*(E36+0.5*calc!$AT$2/60)/(E36-E37),1)),"")</f>
        <v/>
      </c>
      <c r="L37" s="4" t="str">
        <f aca="false">IF(H37&lt;&gt;"",H37&amp;":"&amp;IF(I37&gt;=10,I37,"0"&amp;I37),"")</f>
        <v/>
      </c>
      <c r="M37" s="4" t="str">
        <f aca="false">IF(J37&lt;&gt;"",J37&amp;":"&amp;IF(K37&gt;=10,K37,"0"&amp;K37),"")</f>
        <v/>
      </c>
      <c r="N37" s="62" t="str">
        <f aca="false">IF(AND(E36&lt;E37,E38&lt;E37),D37+0.25*(E38-E36)/(2*E37-E36-E38),"")</f>
        <v/>
      </c>
      <c r="O37" s="6" t="str">
        <f aca="false">IF(N37&lt;&gt;"",INT(N37)&amp;":"&amp;IF(ROUND(60*MOD(D37+0.25*(E38-E36)/(2*E37-E36-E38),1),1)&gt;=10,ROUND(60*MOD(D37+0.25*(E38-E36)/(2*E37-E36-E38),1),1),"0"&amp;ROUND(60*MOD(D37+0.25*(E38-E36)/(2*E37-E36-E38),1),1)),"")</f>
        <v/>
      </c>
      <c r="P37" s="34" t="str">
        <f aca="false">IF(AND(F36&lt;180,F37&gt;180),D37-0.5*(F37-180)/(F37-F36),"")</f>
        <v/>
      </c>
      <c r="Q37" s="6" t="str">
        <f aca="false">IF(P37&lt;&gt;"",INT(P37)&amp;":"&amp;IF(ROUND(60*MOD(P37,1),1)&gt;=10,ROUND(60*MOD(P37,1),1),"0"&amp;ROUND(60*MOD(P37,1),1)),"")</f>
        <v/>
      </c>
      <c r="R37" s="4" t="n">
        <v>180</v>
      </c>
    </row>
    <row r="38" customFormat="false" ht="15" hidden="false" customHeight="false" outlineLevel="0" collapsed="false">
      <c r="D38" s="34" t="n">
        <f aca="false">calc!$A$38</f>
        <v>18</v>
      </c>
      <c r="E38" s="63" t="n">
        <f aca="false">calc!$G$38</f>
        <v>33.1979368259795</v>
      </c>
      <c r="F38" s="64" t="n">
        <f aca="false">calc!$I$38</f>
        <v>179.404066685872</v>
      </c>
      <c r="G38" s="48" t="n">
        <f aca="false">calc!$H$38</f>
        <v>62.5884322905628</v>
      </c>
      <c r="H38" s="2" t="str">
        <f aca="false">IF(IF(AND(E38+0.5*calc!$AT$3/60&gt;0,E37+0.5*calc!$AT$2/60&lt;0),TRUE()),INT(D37),"")</f>
        <v/>
      </c>
      <c r="I38" s="59" t="str">
        <f aca="false">IF(IF(AND(E38+0.5*calc!$AT$3/60&gt;0,E37+0.5*calc!$AT$2/60&lt;0),TRUE()),IF(D37=INT(D37),ROUND(-30*(E37+0.5*calc!$AT$2/60)/(-E37+E38),1),ROUND(30-30*(E37+0.5*calc!$AT$2/60)/(-E37+E38),1)),"")</f>
        <v/>
      </c>
      <c r="J38" s="2" t="str">
        <f aca="false">IF(IF(AND(E38+0.5*calc!$AT$3/60&lt;0,E37+0.5*calc!$AT$2/60&gt;0),TRUE()),INT(D37),"")</f>
        <v/>
      </c>
      <c r="K38" s="2" t="str">
        <f aca="false">IF(IF(AND(E38+0.5*calc!$AT$3/60&lt;0,E37+0.5*calc!$AT$2/60&gt;0),TRUE()),IF(D37=INT(D37),ROUND(30*(E37+0.5*calc!$AT$2/60)/(E37-E38),1),ROUND(30+30*(E37+0.5*calc!$AT$2/60)/(E37-E38),1)),"")</f>
        <v/>
      </c>
      <c r="L38" s="4" t="str">
        <f aca="false">IF(H38&lt;&gt;"",H38&amp;":"&amp;IF(I38&gt;=10,I38,"0"&amp;I38),"")</f>
        <v/>
      </c>
      <c r="M38" s="4" t="str">
        <f aca="false">IF(J38&lt;&gt;"",J38&amp;":"&amp;IF(K38&gt;=10,K38,"0"&amp;K38),"")</f>
        <v/>
      </c>
      <c r="N38" s="62" t="n">
        <f aca="false">IF(AND(E37&lt;E38,E39&lt;E38),D38+0.25*(E39-E37)/(2*E38-E37-E39),"")</f>
        <v>18.1236492295924</v>
      </c>
      <c r="O38" s="6" t="str">
        <f aca="false">IF(N38&lt;&gt;"",INT(N38)&amp;":"&amp;IF(ROUND(60*MOD(D38+0.25*(E39-E37)/(2*E38-E37-E39),1),1)&gt;=10,ROUND(60*MOD(D38+0.25*(E39-E37)/(2*E38-E37-E39),1),1),"0"&amp;ROUND(60*MOD(D38+0.25*(E39-E37)/(2*E38-E37-E39),1),1)),"")</f>
        <v>18:07,4</v>
      </c>
      <c r="P38" s="34" t="str">
        <f aca="false">IF(AND(F37&lt;180,F38&gt;180),D38-0.5*(F38-180)/(F38-F37),"")</f>
        <v/>
      </c>
      <c r="Q38" s="6" t="str">
        <f aca="false">IF(P38&lt;&gt;"",INT(P38)&amp;":"&amp;IF(ROUND(60*MOD(P38,1),1)&gt;=10,ROUND(60*MOD(P38,1),1),"0"&amp;ROUND(60*MOD(P38,1),1)),"")</f>
        <v/>
      </c>
      <c r="R38" s="4" t="n">
        <v>180</v>
      </c>
    </row>
    <row r="39" customFormat="false" ht="15" hidden="false" customHeight="false" outlineLevel="0" collapsed="false">
      <c r="D39" s="34" t="n">
        <f aca="false">calc!$A$39</f>
        <v>18.5</v>
      </c>
      <c r="E39" s="63" t="n">
        <f aca="false">calc!$G$39</f>
        <v>33.0175563754541</v>
      </c>
      <c r="F39" s="64" t="n">
        <f aca="false">calc!$I$39</f>
        <v>188.112449192064</v>
      </c>
      <c r="G39" s="48" t="n">
        <f aca="false">calc!$H$39</f>
        <v>62.8080363198384</v>
      </c>
      <c r="H39" s="2" t="str">
        <f aca="false">IF(IF(AND(E39+0.5*calc!$AT$3/60&gt;0,E38+0.5*calc!$AT$2/60&lt;0),TRUE()),INT(D38),"")</f>
        <v/>
      </c>
      <c r="I39" s="59" t="str">
        <f aca="false">IF(IF(AND(E39+0.5*calc!$AT$3/60&gt;0,E38+0.5*calc!$AT$2/60&lt;0),TRUE()),IF(D38=INT(D38),ROUND(-30*(E38+0.5*calc!$AT$2/60)/(-E38+E39),1),ROUND(30-30*(E38+0.5*calc!$AT$2/60)/(-E38+E39),1)),"")</f>
        <v/>
      </c>
      <c r="J39" s="2" t="str">
        <f aca="false">IF(IF(AND(E39+0.5*calc!$AT$3/60&lt;0,E38+0.5*calc!$AT$2/60&gt;0),TRUE()),INT(D38),"")</f>
        <v/>
      </c>
      <c r="K39" s="2" t="str">
        <f aca="false">IF(IF(AND(E39+0.5*calc!$AT$3/60&lt;0,E38+0.5*calc!$AT$2/60&gt;0),TRUE()),IF(D38=INT(D38),ROUND(30*(E38+0.5*calc!$AT$2/60)/(E38-E39),1),ROUND(30+30*(E38+0.5*calc!$AT$2/60)/(E38-E39),1)),"")</f>
        <v/>
      </c>
      <c r="L39" s="4" t="str">
        <f aca="false">IF(H39&lt;&gt;"",H39&amp;":"&amp;IF(I39&gt;=10,I39,"0"&amp;I39),"")</f>
        <v/>
      </c>
      <c r="M39" s="4" t="str">
        <f aca="false">IF(J39&lt;&gt;"",J39&amp;":"&amp;IF(K39&gt;=10,K39,"0"&amp;K39),"")</f>
        <v/>
      </c>
      <c r="N39" s="62" t="str">
        <f aca="false">IF(AND(E38&lt;E39,E40&lt;E39),D39+0.25*(E40-E38)/(2*E39-E38-E40),"")</f>
        <v/>
      </c>
      <c r="O39" s="6" t="str">
        <f aca="false">IF(N39&lt;&gt;"",INT(N39)&amp;":"&amp;IF(ROUND(60*MOD(D39+0.25*(E40-E38)/(2*E39-E38-E40),1),1)&gt;=10,ROUND(60*MOD(D39+0.25*(E40-E38)/(2*E39-E38-E40),1),1),"0"&amp;ROUND(60*MOD(D39+0.25*(E40-E38)/(2*E39-E38-E40),1),1)),"")</f>
        <v/>
      </c>
      <c r="P39" s="34" t="n">
        <f aca="false">IF(AND(F38&lt;180,F39&gt;180),D39-0.5*(F39-180)/(F39-F38),"")</f>
        <v>18.0342160736339</v>
      </c>
      <c r="Q39" s="6" t="str">
        <f aca="false">IF(P39&lt;&gt;"",INT(P39)&amp;":"&amp;IF(ROUND(60*MOD(P39,1),1)&gt;=10,ROUND(60*MOD(P39,1),1),"0"&amp;ROUND(60*MOD(P39,1),1)),"")</f>
        <v>18:02,1</v>
      </c>
      <c r="R39" s="4" t="n">
        <v>180</v>
      </c>
    </row>
    <row r="40" customFormat="false" ht="15" hidden="false" customHeight="false" outlineLevel="0" collapsed="false">
      <c r="D40" s="34" t="n">
        <f aca="false">calc!$A$40</f>
        <v>19</v>
      </c>
      <c r="E40" s="63" t="n">
        <f aca="false">calc!$G$40</f>
        <v>32.1322345353913</v>
      </c>
      <c r="F40" s="64" t="n">
        <f aca="false">calc!$I$40</f>
        <v>196.708429822172</v>
      </c>
      <c r="G40" s="48" t="n">
        <f aca="false">calc!$H$40</f>
        <v>63.0272738418368</v>
      </c>
      <c r="H40" s="2" t="str">
        <f aca="false">IF(IF(AND(E40+0.5*calc!$AT$3/60&gt;0,E39+0.5*calc!$AT$2/60&lt;0),TRUE()),INT(D39),"")</f>
        <v/>
      </c>
      <c r="I40" s="59" t="str">
        <f aca="false">IF(IF(AND(E40+0.5*calc!$AT$3/60&gt;0,E39+0.5*calc!$AT$2/60&lt;0),TRUE()),IF(D39=INT(D39),ROUND(-30*(E39+0.5*calc!$AT$2/60)/(-E39+E40),1),ROUND(30-30*(E39+0.5*calc!$AT$2/60)/(-E39+E40),1)),"")</f>
        <v/>
      </c>
      <c r="J40" s="2" t="str">
        <f aca="false">IF(IF(AND(E40+0.5*calc!$AT$3/60&lt;0,E39+0.5*calc!$AT$2/60&gt;0),TRUE()),INT(D39),"")</f>
        <v/>
      </c>
      <c r="K40" s="2" t="str">
        <f aca="false">IF(IF(AND(E40+0.5*calc!$AT$3/60&lt;0,E39+0.5*calc!$AT$2/60&gt;0),TRUE()),IF(D39=INT(D39),ROUND(30*(E39+0.5*calc!$AT$2/60)/(E39-E40),1),ROUND(30+30*(E39+0.5*calc!$AT$2/60)/(E39-E40),1)),"")</f>
        <v/>
      </c>
      <c r="L40" s="4" t="str">
        <f aca="false">IF(H40&lt;&gt;"",H40&amp;":"&amp;IF(I40&gt;=10,I40,"0"&amp;I40),"")</f>
        <v/>
      </c>
      <c r="M40" s="4" t="str">
        <f aca="false">IF(J40&lt;&gt;"",J40&amp;":"&amp;IF(K40&gt;=10,K40,"0"&amp;K40),"")</f>
        <v/>
      </c>
      <c r="N40" s="62" t="str">
        <f aca="false">IF(AND(E39&lt;E40,E41&lt;E40),D40+0.25*(E41-E39)/(2*E40-E39-E41),"")</f>
        <v/>
      </c>
      <c r="O40" s="6" t="str">
        <f aca="false">IF(N40&lt;&gt;"",INT(N40)&amp;":"&amp;IF(ROUND(60*MOD(D40+0.25*(E41-E39)/(2*E40-E39-E41),1),1)&gt;=10,ROUND(60*MOD(D40+0.25*(E41-E39)/(2*E40-E39-E41),1),1),"0"&amp;ROUND(60*MOD(D40+0.25*(E41-E39)/(2*E40-E39-E41),1),1)),"")</f>
        <v/>
      </c>
      <c r="P40" s="34" t="str">
        <f aca="false">IF(AND(F39&lt;180,F40&gt;180),D40-0.5*(F40-180)/(F40-F39),"")</f>
        <v/>
      </c>
      <c r="Q40" s="6" t="str">
        <f aca="false">IF(P40&lt;&gt;"",INT(P40)&amp;":"&amp;IF(ROUND(60*MOD(P40,1),1)&gt;=10,ROUND(60*MOD(P40,1),1),"0"&amp;ROUND(60*MOD(P40,1),1)),"")</f>
        <v/>
      </c>
      <c r="R40" s="4" t="n">
        <v>180</v>
      </c>
    </row>
    <row r="41" customFormat="false" ht="15" hidden="false" customHeight="false" outlineLevel="0" collapsed="false">
      <c r="D41" s="34" t="n">
        <f aca="false">calc!$A$41</f>
        <v>19.5</v>
      </c>
      <c r="E41" s="63" t="n">
        <f aca="false">calc!$G$41</f>
        <v>30.5783876010587</v>
      </c>
      <c r="F41" s="64" t="n">
        <f aca="false">calc!$I$41</f>
        <v>205.057527985008</v>
      </c>
      <c r="G41" s="48" t="n">
        <f aca="false">calc!$H$41</f>
        <v>63.2461408839675</v>
      </c>
      <c r="H41" s="2" t="str">
        <f aca="false">IF(IF(AND(E41+0.5*calc!$AT$3/60&gt;0,E40+0.5*calc!$AT$2/60&lt;0),TRUE()),INT(D40),"")</f>
        <v/>
      </c>
      <c r="I41" s="59" t="str">
        <f aca="false">IF(IF(AND(E41+0.5*calc!$AT$3/60&gt;0,E40+0.5*calc!$AT$2/60&lt;0),TRUE()),IF(D40=INT(D40),ROUND(-30*(E40+0.5*calc!$AT$2/60)/(-E40+E41),1),ROUND(30-30*(E40+0.5*calc!$AT$2/60)/(-E40+E41),1)),"")</f>
        <v/>
      </c>
      <c r="J41" s="2" t="str">
        <f aca="false">IF(IF(AND(E41+0.5*calc!$AT$3/60&lt;0,E40+0.5*calc!$AT$2/60&gt;0),TRUE()),INT(D40),"")</f>
        <v/>
      </c>
      <c r="K41" s="2" t="str">
        <f aca="false">IF(IF(AND(E41+0.5*calc!$AT$3/60&lt;0,E40+0.5*calc!$AT$2/60&gt;0),TRUE()),IF(D40=INT(D40),ROUND(30*(E40+0.5*calc!$AT$2/60)/(E40-E41),1),ROUND(30+30*(E40+0.5*calc!$AT$2/60)/(E40-E41),1)),"")</f>
        <v/>
      </c>
      <c r="L41" s="4" t="str">
        <f aca="false">IF(H41&lt;&gt;"",H41&amp;":"&amp;IF(I41&gt;=10,I41,"0"&amp;I41),"")</f>
        <v/>
      </c>
      <c r="M41" s="4" t="str">
        <f aca="false">IF(J41&lt;&gt;"",J41&amp;":"&amp;IF(K41&gt;=10,K41,"0"&amp;K41),"")</f>
        <v/>
      </c>
      <c r="N41" s="62" t="str">
        <f aca="false">IF(AND(E40&lt;E41,E42&lt;E41),D41+0.25*(E42-E40)/(2*E41-E40-E42),"")</f>
        <v/>
      </c>
      <c r="O41" s="6" t="str">
        <f aca="false">IF(N41&lt;&gt;"",INT(N41)&amp;":"&amp;IF(ROUND(60*MOD(D41+0.25*(E42-E40)/(2*E41-E40-E42),1),1)&gt;=10,ROUND(60*MOD(D41+0.25*(E42-E40)/(2*E41-E40-E42),1),1),"0"&amp;ROUND(60*MOD(D41+0.25*(E42-E40)/(2*E41-E40-E42),1),1)),"")</f>
        <v/>
      </c>
      <c r="P41" s="34" t="str">
        <f aca="false">IF(AND(F40&lt;180,F41&gt;180),D41-0.5*(F41-180)/(F41-F40),"")</f>
        <v/>
      </c>
      <c r="Q41" s="6" t="str">
        <f aca="false">IF(P41&lt;&gt;"",INT(P41)&amp;":"&amp;IF(ROUND(60*MOD(P41,1),1)&gt;=10,ROUND(60*MOD(P41,1),1),"0"&amp;ROUND(60*MOD(P41,1),1)),"")</f>
        <v/>
      </c>
      <c r="R41" s="4" t="n">
        <v>180</v>
      </c>
    </row>
    <row r="42" customFormat="false" ht="15" hidden="false" customHeight="false" outlineLevel="0" collapsed="false">
      <c r="D42" s="34" t="n">
        <f aca="false">calc!$A$42</f>
        <v>20</v>
      </c>
      <c r="E42" s="63" t="n">
        <f aca="false">calc!$G$42</f>
        <v>28.4141620714773</v>
      </c>
      <c r="F42" s="64" t="n">
        <f aca="false">calc!$I$42</f>
        <v>213.061774019885</v>
      </c>
      <c r="G42" s="48" t="n">
        <f aca="false">calc!$H$42</f>
        <v>63.4646334770613</v>
      </c>
      <c r="H42" s="2" t="str">
        <f aca="false">IF(IF(AND(E42+0.5*calc!$AT$3/60&gt;0,E41+0.5*calc!$AT$2/60&lt;0),TRUE()),INT(D41),"")</f>
        <v/>
      </c>
      <c r="I42" s="59" t="str">
        <f aca="false">IF(IF(AND(E42+0.5*calc!$AT$3/60&gt;0,E41+0.5*calc!$AT$2/60&lt;0),TRUE()),IF(D41=INT(D41),ROUND(-30*(E41+0.5*calc!$AT$2/60)/(-E41+E42),1),ROUND(30-30*(E41+0.5*calc!$AT$2/60)/(-E41+E42),1)),"")</f>
        <v/>
      </c>
      <c r="J42" s="2" t="str">
        <f aca="false">IF(IF(AND(E42+0.5*calc!$AT$3/60&lt;0,E41+0.5*calc!$AT$2/60&gt;0),TRUE()),INT(D41),"")</f>
        <v/>
      </c>
      <c r="K42" s="2" t="str">
        <f aca="false">IF(IF(AND(E42+0.5*calc!$AT$3/60&lt;0,E41+0.5*calc!$AT$2/60&gt;0),TRUE()),IF(D41=INT(D41),ROUND(30*(E41+0.5*calc!$AT$2/60)/(E41-E42),1),ROUND(30+30*(E41+0.5*calc!$AT$2/60)/(E41-E42),1)),"")</f>
        <v/>
      </c>
      <c r="L42" s="4" t="str">
        <f aca="false">IF(H42&lt;&gt;"",H42&amp;":"&amp;IF(I42&gt;=10,I42,"0"&amp;I42),"")</f>
        <v/>
      </c>
      <c r="M42" s="4" t="str">
        <f aca="false">IF(J42&lt;&gt;"",J42&amp;":"&amp;IF(K42&gt;=10,K42,"0"&amp;K42),"")</f>
        <v/>
      </c>
      <c r="N42" s="62" t="str">
        <f aca="false">IF(AND(E41&lt;E42,E43&lt;E42),D42+0.25*(E43-E41)/(2*E42-E41-E43),"")</f>
        <v/>
      </c>
      <c r="O42" s="6" t="str">
        <f aca="false">IF(N42&lt;&gt;"",INT(N42)&amp;":"&amp;IF(ROUND(60*MOD(D42+0.25*(E43-E41)/(2*E42-E41-E43),1),1)&gt;=10,ROUND(60*MOD(D42+0.25*(E43-E41)/(2*E42-E41-E43),1),1),"0"&amp;ROUND(60*MOD(D42+0.25*(E43-E41)/(2*E42-E41-E43),1),1)),"")</f>
        <v/>
      </c>
      <c r="P42" s="34" t="str">
        <f aca="false">IF(AND(F41&lt;180,F42&gt;180),D42-0.5*(F42-180)/(F42-F41),"")</f>
        <v/>
      </c>
      <c r="Q42" s="6" t="str">
        <f aca="false">IF(P42&lt;&gt;"",INT(P42)&amp;":"&amp;IF(ROUND(60*MOD(P42,1),1)&gt;=10,ROUND(60*MOD(P42,1),1),"0"&amp;ROUND(60*MOD(P42,1),1)),"")</f>
        <v/>
      </c>
      <c r="R42" s="4" t="n">
        <v>180</v>
      </c>
    </row>
    <row r="43" customFormat="false" ht="15" hidden="false" customHeight="false" outlineLevel="0" collapsed="false">
      <c r="D43" s="34" t="n">
        <f aca="false">calc!$A$43</f>
        <v>20.5</v>
      </c>
      <c r="E43" s="63" t="n">
        <f aca="false">calc!$G$43</f>
        <v>25.7113557165764</v>
      </c>
      <c r="F43" s="64" t="n">
        <f aca="false">calc!$I$43</f>
        <v>220.666929182985</v>
      </c>
      <c r="G43" s="48" t="n">
        <f aca="false">calc!$H$43</f>
        <v>63.6827476701456</v>
      </c>
      <c r="H43" s="2" t="str">
        <f aca="false">IF(IF(AND(E43+0.5*calc!$AT$3/60&gt;0,E42+0.5*calc!$AT$2/60&lt;0),TRUE()),INT(D42),"")</f>
        <v/>
      </c>
      <c r="I43" s="59" t="str">
        <f aca="false">IF(IF(AND(E43+0.5*calc!$AT$3/60&gt;0,E42+0.5*calc!$AT$2/60&lt;0),TRUE()),IF(D42=INT(D42),ROUND(-30*(E42+0.5*calc!$AT$2/60)/(-E42+E43),1),ROUND(30-30*(E42+0.5*calc!$AT$2/60)/(-E42+E43),1)),"")</f>
        <v/>
      </c>
      <c r="J43" s="2" t="str">
        <f aca="false">IF(IF(AND(E43+0.5*calc!$AT$3/60&lt;0,E42+0.5*calc!$AT$2/60&gt;0),TRUE()),INT(D42),"")</f>
        <v/>
      </c>
      <c r="K43" s="2" t="str">
        <f aca="false">IF(IF(AND(E43+0.5*calc!$AT$3/60&lt;0,E42+0.5*calc!$AT$2/60&gt;0),TRUE()),IF(D42=INT(D42),ROUND(30*(E42+0.5*calc!$AT$2/60)/(E42-E43),1),ROUND(30+30*(E42+0.5*calc!$AT$2/60)/(E42-E43),1)),"")</f>
        <v/>
      </c>
      <c r="L43" s="4" t="str">
        <f aca="false">IF(H43&lt;&gt;"",H43&amp;":"&amp;IF(I43&gt;=10,I43,"0"&amp;I43),"")</f>
        <v/>
      </c>
      <c r="M43" s="4" t="str">
        <f aca="false">IF(J43&lt;&gt;"",J43&amp;":"&amp;IF(K43&gt;=10,K43,"0"&amp;K43),"")</f>
        <v/>
      </c>
      <c r="N43" s="62" t="str">
        <f aca="false">IF(AND(E42&lt;E43,E44&lt;E43),D43+0.25*(E44-E42)/(2*E43-E42-E44),"")</f>
        <v/>
      </c>
      <c r="O43" s="6" t="str">
        <f aca="false">IF(N43&lt;&gt;"",INT(N43)&amp;":"&amp;IF(ROUND(60*MOD(D43+0.25*(E44-E42)/(2*E43-E42-E44),1),1)&gt;=10,ROUND(60*MOD(D43+0.25*(E44-E42)/(2*E43-E42-E44),1),1),"0"&amp;ROUND(60*MOD(D43+0.25*(E44-E42)/(2*E43-E42-E44),1),1)),"")</f>
        <v/>
      </c>
      <c r="P43" s="34" t="str">
        <f aca="false">IF(AND(F42&lt;180,F43&gt;180),D43-0.5*(F43-180)/(F43-F42),"")</f>
        <v/>
      </c>
      <c r="Q43" s="6" t="str">
        <f aca="false">IF(P43&lt;&gt;"",INT(P43)&amp;":"&amp;IF(ROUND(60*MOD(P43,1),1)&gt;=10,ROUND(60*MOD(P43,1),1),"0"&amp;ROUND(60*MOD(P43,1),1)),"")</f>
        <v/>
      </c>
      <c r="R43" s="4" t="n">
        <v>180</v>
      </c>
    </row>
    <row r="44" customFormat="false" ht="15" hidden="false" customHeight="false" outlineLevel="0" collapsed="false">
      <c r="D44" s="34" t="n">
        <f aca="false">calc!$A$44</f>
        <v>21</v>
      </c>
      <c r="E44" s="63" t="n">
        <f aca="false">calc!$G$44</f>
        <v>22.5475483557935</v>
      </c>
      <c r="F44" s="64" t="n">
        <f aca="false">calc!$I$44</f>
        <v>227.859813024785</v>
      </c>
      <c r="G44" s="48" t="n">
        <f aca="false">calc!$H$44</f>
        <v>63.9004795450173</v>
      </c>
      <c r="H44" s="2" t="str">
        <f aca="false">IF(IF(AND(E44+0.5*calc!$AT$3/60&gt;0,E43+0.5*calc!$AT$2/60&lt;0),TRUE()),INT(D43),"")</f>
        <v/>
      </c>
      <c r="I44" s="59" t="str">
        <f aca="false">IF(IF(AND(E44+0.5*calc!$AT$3/60&gt;0,E43+0.5*calc!$AT$2/60&lt;0),TRUE()),IF(D43=INT(D43),ROUND(-30*(E43+0.5*calc!$AT$2/60)/(-E43+E44),1),ROUND(30-30*(E43+0.5*calc!$AT$2/60)/(-E43+E44),1)),"")</f>
        <v/>
      </c>
      <c r="J44" s="2" t="str">
        <f aca="false">IF(IF(AND(E44+0.5*calc!$AT$3/60&lt;0,E43+0.5*calc!$AT$2/60&gt;0),TRUE()),INT(D43),"")</f>
        <v/>
      </c>
      <c r="K44" s="2" t="str">
        <f aca="false">IF(IF(AND(E44+0.5*calc!$AT$3/60&lt;0,E43+0.5*calc!$AT$2/60&gt;0),TRUE()),IF(D43=INT(D43),ROUND(30*(E43+0.5*calc!$AT$2/60)/(E43-E44),1),ROUND(30+30*(E43+0.5*calc!$AT$2/60)/(E43-E44),1)),"")</f>
        <v/>
      </c>
      <c r="L44" s="4" t="str">
        <f aca="false">IF(H44&lt;&gt;"",H44&amp;":"&amp;IF(I44&gt;=10,I44,"0"&amp;I44),"")</f>
        <v/>
      </c>
      <c r="M44" s="4" t="str">
        <f aca="false">IF(J44&lt;&gt;"",J44&amp;":"&amp;IF(K44&gt;=10,K44,"0"&amp;K44),"")</f>
        <v/>
      </c>
      <c r="N44" s="62" t="str">
        <f aca="false">IF(AND(E43&lt;E44,E45&lt;E44),D44+0.25*(E45-E43)/(2*E44-E43-E45),"")</f>
        <v/>
      </c>
      <c r="O44" s="6" t="str">
        <f aca="false">IF(N44&lt;&gt;"",INT(N44)&amp;":"&amp;IF(ROUND(60*MOD(D44+0.25*(E45-E43)/(2*E44-E43-E45),1),1)&gt;=10,ROUND(60*MOD(D44+0.25*(E45-E43)/(2*E44-E43-E45),1),1),"0"&amp;ROUND(60*MOD(D44+0.25*(E45-E43)/(2*E44-E43-E45),1),1)),"")</f>
        <v/>
      </c>
      <c r="P44" s="34" t="str">
        <f aca="false">IF(AND(F43&lt;180,F44&gt;180),D44-0.5*(F44-180)/(F44-F43),"")</f>
        <v/>
      </c>
      <c r="Q44" s="6" t="str">
        <f aca="false">IF(P44&lt;&gt;"",INT(P44)&amp;":"&amp;IF(ROUND(60*MOD(P44,1),1)&gt;=10,ROUND(60*MOD(P44,1),1),"0"&amp;ROUND(60*MOD(P44,1),1)),"")</f>
        <v/>
      </c>
      <c r="R44" s="4" t="n">
        <v>180</v>
      </c>
    </row>
    <row r="45" customFormat="false" ht="15" hidden="false" customHeight="false" outlineLevel="0" collapsed="false">
      <c r="D45" s="34" t="n">
        <f aca="false">calc!$A$45</f>
        <v>21.5</v>
      </c>
      <c r="E45" s="63" t="n">
        <f aca="false">calc!$G$45</f>
        <v>19.0001622861468</v>
      </c>
      <c r="F45" s="64" t="n">
        <f aca="false">calc!$I$45</f>
        <v>234.659812384756</v>
      </c>
      <c r="G45" s="48" t="n">
        <f aca="false">calc!$H$45</f>
        <v>64.1178251869326</v>
      </c>
      <c r="H45" s="2" t="str">
        <f aca="false">IF(IF(AND(E45+0.5*calc!$AT$3/60&gt;0,E44+0.5*calc!$AT$2/60&lt;0),TRUE()),INT(D44),"")</f>
        <v/>
      </c>
      <c r="I45" s="59" t="str">
        <f aca="false">IF(IF(AND(E45+0.5*calc!$AT$3/60&gt;0,E44+0.5*calc!$AT$2/60&lt;0),TRUE()),IF(D44=INT(D44),ROUND(-30*(E44+0.5*calc!$AT$2/60)/(-E44+E45),1),ROUND(30-30*(E44+0.5*calc!$AT$2/60)/(-E44+E45),1)),"")</f>
        <v/>
      </c>
      <c r="J45" s="2" t="str">
        <f aca="false">IF(IF(AND(E45+0.5*calc!$AT$3/60&lt;0,E44+0.5*calc!$AT$2/60&gt;0),TRUE()),INT(D44),"")</f>
        <v/>
      </c>
      <c r="K45" s="2" t="str">
        <f aca="false">IF(IF(AND(E45+0.5*calc!$AT$3/60&lt;0,E44+0.5*calc!$AT$2/60&gt;0),TRUE()),IF(D44=INT(D44),ROUND(30*(E44+0.5*calc!$AT$2/60)/(E44-E45),1),ROUND(30+30*(E44+0.5*calc!$AT$2/60)/(E44-E45),1)),"")</f>
        <v/>
      </c>
      <c r="L45" s="4" t="str">
        <f aca="false">IF(H45&lt;&gt;"",H45&amp;":"&amp;IF(I45&gt;=10,I45,"0"&amp;I45),"")</f>
        <v/>
      </c>
      <c r="M45" s="4" t="str">
        <f aca="false">IF(J45&lt;&gt;"",J45&amp;":"&amp;IF(K45&gt;=10,K45,"0"&amp;K45),"")</f>
        <v/>
      </c>
      <c r="N45" s="62" t="str">
        <f aca="false">IF(AND(E44&lt;E45,E46&lt;E45),D45+0.25*(E46-E44)/(2*E45-E44-E46),"")</f>
        <v/>
      </c>
      <c r="O45" s="6" t="str">
        <f aca="false">IF(N45&lt;&gt;"",INT(N45)&amp;":"&amp;IF(ROUND(60*MOD(D45+0.25*(E46-E44)/(2*E45-E44-E46),1),1)&gt;=10,ROUND(60*MOD(D45+0.25*(E46-E44)/(2*E45-E44-E46),1),1),"0"&amp;ROUND(60*MOD(D45+0.25*(E46-E44)/(2*E45-E44-E46),1),1)),"")</f>
        <v/>
      </c>
      <c r="P45" s="34" t="str">
        <f aca="false">IF(AND(F44&lt;180,F45&gt;180),D45-0.5*(F45-180)/(F45-F44),"")</f>
        <v/>
      </c>
      <c r="Q45" s="6" t="str">
        <f aca="false">IF(P45&lt;&gt;"",INT(P45)&amp;":"&amp;IF(ROUND(60*MOD(P45,1),1)&gt;=10,ROUND(60*MOD(P45,1),1),"0"&amp;ROUND(60*MOD(P45,1),1)),"")</f>
        <v/>
      </c>
      <c r="R45" s="4" t="n">
        <v>180</v>
      </c>
    </row>
    <row r="46" customFormat="false" ht="15" hidden="false" customHeight="false" outlineLevel="0" collapsed="false">
      <c r="D46" s="34" t="n">
        <f aca="false">calc!$A$46</f>
        <v>22</v>
      </c>
      <c r="E46" s="63" t="n">
        <f aca="false">calc!$G$46</f>
        <v>15.1432155888936</v>
      </c>
      <c r="F46" s="64" t="n">
        <f aca="false">calc!$I$46</f>
        <v>241.108901440709</v>
      </c>
      <c r="G46" s="48" t="n">
        <f aca="false">calc!$H$46</f>
        <v>64.3347806993425</v>
      </c>
      <c r="H46" s="2" t="str">
        <f aca="false">IF(IF(AND(E46+0.5*calc!$AT$3/60&gt;0,E45+0.5*calc!$AT$2/60&lt;0),TRUE()),INT(D45),"")</f>
        <v/>
      </c>
      <c r="I46" s="59" t="str">
        <f aca="false">IF(IF(AND(E46+0.5*calc!$AT$3/60&gt;0,E45+0.5*calc!$AT$2/60&lt;0),TRUE()),IF(D45=INT(D45),ROUND(-30*(E45+0.5*calc!$AT$2/60)/(-E45+E46),1),ROUND(30-30*(E45+0.5*calc!$AT$2/60)/(-E45+E46),1)),"")</f>
        <v/>
      </c>
      <c r="J46" s="2" t="str">
        <f aca="false">IF(IF(AND(E46+0.5*calc!$AT$3/60&lt;0,E45+0.5*calc!$AT$2/60&gt;0),TRUE()),INT(D45),"")</f>
        <v/>
      </c>
      <c r="K46" s="2" t="str">
        <f aca="false">IF(IF(AND(E46+0.5*calc!$AT$3/60&lt;0,E45+0.5*calc!$AT$2/60&gt;0),TRUE()),IF(D45=INT(D45),ROUND(30*(E45+0.5*calc!$AT$2/60)/(E45-E46),1),ROUND(30+30*(E45+0.5*calc!$AT$2/60)/(E45-E46),1)),"")</f>
        <v/>
      </c>
      <c r="L46" s="4" t="str">
        <f aca="false">IF(H46&lt;&gt;"",H46&amp;":"&amp;IF(I46&gt;=10,I46,"0"&amp;I46),"")</f>
        <v/>
      </c>
      <c r="M46" s="4" t="str">
        <f aca="false">IF(J46&lt;&gt;"",J46&amp;":"&amp;IF(K46&gt;=10,K46,"0"&amp;K46),"")</f>
        <v/>
      </c>
      <c r="N46" s="62" t="str">
        <f aca="false">IF(AND(E45&lt;E46,E47&lt;E46),D46+0.25*(E47-E45)/(2*E46-E45-E47),"")</f>
        <v/>
      </c>
      <c r="O46" s="6" t="str">
        <f aca="false">IF(N46&lt;&gt;"",INT(N46)&amp;":"&amp;IF(ROUND(60*MOD(D46+0.25*(E47-E45)/(2*E46-E45-E47),1),1)&gt;=10,ROUND(60*MOD(D46+0.25*(E47-E45)/(2*E46-E45-E47),1),1),"0"&amp;ROUND(60*MOD(D46+0.25*(E47-E45)/(2*E46-E45-E47),1),1)),"")</f>
        <v/>
      </c>
      <c r="P46" s="34" t="str">
        <f aca="false">IF(AND(F45&lt;180,F46&gt;180),D46-0.5*(F46-180)/(F46-F45),"")</f>
        <v/>
      </c>
      <c r="Q46" s="6" t="str">
        <f aca="false">IF(P46&lt;&gt;"",INT(P46)&amp;":"&amp;IF(ROUND(60*MOD(P46,1),1)&gt;=10,ROUND(60*MOD(P46,1),1),"0"&amp;ROUND(60*MOD(P46,1),1)),"")</f>
        <v/>
      </c>
      <c r="R46" s="4" t="n">
        <v>180</v>
      </c>
    </row>
    <row r="47" customFormat="false" ht="15" hidden="false" customHeight="false" outlineLevel="0" collapsed="false">
      <c r="D47" s="34" t="n">
        <f aca="false">calc!$A$47</f>
        <v>22.5</v>
      </c>
      <c r="E47" s="63" t="n">
        <f aca="false">calc!$G$47</f>
        <v>11.0473572842896</v>
      </c>
      <c r="F47" s="64" t="n">
        <f aca="false">calc!$I$47</f>
        <v>247.262983016007</v>
      </c>
      <c r="G47" s="48" t="n">
        <f aca="false">calc!$H$47</f>
        <v>64.551342218217</v>
      </c>
      <c r="H47" s="2" t="str">
        <f aca="false">IF(IF(AND(E47+0.5*calc!$AT$3/60&gt;0,E46+0.5*calc!$AT$2/60&lt;0),TRUE()),INT(D46),"")</f>
        <v/>
      </c>
      <c r="I47" s="59" t="str">
        <f aca="false">IF(IF(AND(E47+0.5*calc!$AT$3/60&gt;0,E46+0.5*calc!$AT$2/60&lt;0),TRUE()),IF(D46=INT(D46),ROUND(-30*(E46+0.5*calc!$AT$2/60)/(-E46+E47),1),ROUND(30-30*(E46+0.5*calc!$AT$2/60)/(-E46+E47),1)),"")</f>
        <v/>
      </c>
      <c r="J47" s="2" t="str">
        <f aca="false">IF(IF(AND(E47+0.5*calc!$AT$3/60&lt;0,E46+0.5*calc!$AT$2/60&gt;0),TRUE()),INT(D46),"")</f>
        <v/>
      </c>
      <c r="K47" s="2" t="str">
        <f aca="false">IF(IF(AND(E47+0.5*calc!$AT$3/60&lt;0,E46+0.5*calc!$AT$2/60&gt;0),TRUE()),IF(D46=INT(D46),ROUND(30*(E46+0.5*calc!$AT$2/60)/(E46-E47),1),ROUND(30+30*(E46+0.5*calc!$AT$2/60)/(E46-E47),1)),"")</f>
        <v/>
      </c>
      <c r="L47" s="4" t="str">
        <f aca="false">IF(H47&lt;&gt;"",H47&amp;":"&amp;IF(I47&gt;=10,I47,"0"&amp;I47),"")</f>
        <v/>
      </c>
      <c r="M47" s="4" t="str">
        <f aca="false">IF(J47&lt;&gt;"",J47&amp;":"&amp;IF(K47&gt;=10,K47,"0"&amp;K47),"")</f>
        <v/>
      </c>
      <c r="N47" s="62" t="str">
        <f aca="false">IF(AND(E46&lt;E47,E48&lt;E47),D47+0.25*(E48-E46)/(2*E47-E46-E48),"")</f>
        <v/>
      </c>
      <c r="O47" s="6" t="str">
        <f aca="false">IF(N47&lt;&gt;"",INT(N47)&amp;":"&amp;IF(ROUND(60*MOD(D47+0.25*(E48-E46)/(2*E47-E46-E48),1),1)&gt;=10,ROUND(60*MOD(D47+0.25*(E48-E46)/(2*E47-E46-E48),1),1),"0"&amp;ROUND(60*MOD(D47+0.25*(E48-E46)/(2*E47-E46-E48),1),1)),"")</f>
        <v/>
      </c>
      <c r="P47" s="34" t="str">
        <f aca="false">IF(AND(F46&lt;180,F47&gt;180),D47-0.5*(F47-180)/(F47-F46),"")</f>
        <v/>
      </c>
      <c r="Q47" s="6" t="str">
        <f aca="false">IF(P47&lt;&gt;"",INT(P47)&amp;":"&amp;IF(ROUND(60*MOD(P47,1),1)&gt;=10,ROUND(60*MOD(P47,1),1),"0"&amp;ROUND(60*MOD(P47,1),1)),"")</f>
        <v/>
      </c>
      <c r="R47" s="4" t="n">
        <v>180</v>
      </c>
    </row>
    <row r="48" customFormat="false" ht="15" hidden="false" customHeight="false" outlineLevel="0" collapsed="false">
      <c r="D48" s="34" t="n">
        <f aca="false">calc!$A$48</f>
        <v>23</v>
      </c>
      <c r="E48" s="63" t="n">
        <f aca="false">calc!$G$48</f>
        <v>6.78680049700946</v>
      </c>
      <c r="F48" s="64" t="n">
        <f aca="false">calc!$I$48</f>
        <v>253.185665907558</v>
      </c>
      <c r="G48" s="48" t="n">
        <f aca="false">calc!$H$48</f>
        <v>64.7675058831303</v>
      </c>
      <c r="H48" s="2" t="str">
        <f aca="false">IF(IF(AND(E48+0.5*calc!$AT$3/60&gt;0,E47+0.5*calc!$AT$2/60&lt;0),TRUE()),INT(D47),"")</f>
        <v/>
      </c>
      <c r="I48" s="59" t="str">
        <f aca="false">IF(IF(AND(E48+0.5*calc!$AT$3/60&gt;0,E47+0.5*calc!$AT$2/60&lt;0),TRUE()),IF(D47=INT(D47),ROUND(-30*(E47+0.5*calc!$AT$2/60)/(-E47+E48),1),ROUND(30-30*(E47+0.5*calc!$AT$2/60)/(-E47+E48),1)),"")</f>
        <v/>
      </c>
      <c r="J48" s="2" t="str">
        <f aca="false">IF(IF(AND(E48+0.5*calc!$AT$3/60&lt;0,E47+0.5*calc!$AT$2/60&gt;0),TRUE()),INT(D47),"")</f>
        <v/>
      </c>
      <c r="K48" s="2" t="str">
        <f aca="false">IF(IF(AND(E48+0.5*calc!$AT$3/60&lt;0,E47+0.5*calc!$AT$2/60&gt;0),TRUE()),IF(D47=INT(D47),ROUND(30*(E47+0.5*calc!$AT$2/60)/(E47-E48),1),ROUND(30+30*(E47+0.5*calc!$AT$2/60)/(E47-E48),1)),"")</f>
        <v/>
      </c>
      <c r="L48" s="4" t="str">
        <f aca="false">IF(H48&lt;&gt;"",H48&amp;":"&amp;IF(I48&gt;=10,I48,"0"&amp;I48),"")</f>
        <v/>
      </c>
      <c r="M48" s="4" t="str">
        <f aca="false">IF(J48&lt;&gt;"",J48&amp;":"&amp;IF(K48&gt;=10,K48,"0"&amp;K48),"")</f>
        <v/>
      </c>
      <c r="N48" s="62" t="str">
        <f aca="false">IF(AND(E47&lt;E48,E49&lt;E48),D48+0.25*(E49-E47)/(2*E48-E47-E49),"")</f>
        <v/>
      </c>
      <c r="O48" s="6" t="str">
        <f aca="false">IF(N48&lt;&gt;"",INT(N48)&amp;":"&amp;IF(ROUND(60*MOD(D48+0.25*(E49-E47)/(2*E48-E47-E49),1),1)&gt;=10,ROUND(60*MOD(D48+0.25*(E49-E47)/(2*E48-E47-E49),1),1),"0"&amp;ROUND(60*MOD(D48+0.25*(E49-E47)/(2*E48-E47-E49),1),1)),"")</f>
        <v/>
      </c>
      <c r="P48" s="34" t="str">
        <f aca="false">IF(AND(F47&lt;180,F48&gt;180),D48-0.5*(F48-180)/(F48-F47),"")</f>
        <v/>
      </c>
      <c r="Q48" s="6" t="str">
        <f aca="false">IF(P48&lt;&gt;"",INT(P48)&amp;":"&amp;IF(ROUND(60*MOD(P48,1),1)&gt;=10,ROUND(60*MOD(P48,1),1),"0"&amp;ROUND(60*MOD(P48,1),1)),"")</f>
        <v/>
      </c>
      <c r="R48" s="4" t="n">
        <v>180</v>
      </c>
    </row>
    <row r="49" customFormat="false" ht="15" hidden="false" customHeight="false" outlineLevel="0" collapsed="false">
      <c r="D49" s="34" t="n">
        <f aca="false">calc!$A$49</f>
        <v>23.5</v>
      </c>
      <c r="E49" s="63" t="n">
        <f aca="false">calc!$G$49</f>
        <v>2.48578819891736</v>
      </c>
      <c r="F49" s="64" t="n">
        <f aca="false">calc!$I$49</f>
        <v>258.944485803712</v>
      </c>
      <c r="G49" s="48" t="n">
        <f aca="false">calc!$H$49</f>
        <v>64.983267851648</v>
      </c>
      <c r="H49" s="2" t="str">
        <f aca="false">IF(IF(AND(E49+0.5*calc!$AT$3/60&gt;0,E48+0.5*calc!$AT$2/60&lt;0),TRUE()),INT(D48),"")</f>
        <v/>
      </c>
      <c r="I49" s="59" t="str">
        <f aca="false">IF(IF(AND(E49+0.5*calc!$AT$3/60&gt;0,E48+0.5*calc!$AT$2/60&lt;0),TRUE()),IF(D48=INT(D48),ROUND(-30*(E48+0.5*calc!$AT$2/60)/(-E48+E49),1),ROUND(30-30*(E48+0.5*calc!$AT$2/60)/(-E48+E49),1)),"")</f>
        <v/>
      </c>
      <c r="J49" s="2" t="str">
        <f aca="false">IF(IF(AND(E49+0.5*calc!$AT$3/60&lt;0,E48+0.5*calc!$AT$2/60&gt;0),TRUE()),INT(D48),"")</f>
        <v/>
      </c>
      <c r="K49" s="2" t="str">
        <f aca="false">IF(IF(AND(E49+0.5*calc!$AT$3/60&lt;0,E48+0.5*calc!$AT$2/60&gt;0),TRUE()),IF(D48=INT(D48),ROUND(30*(E48+0.5*calc!$AT$2/60)/(E48-E49),1),ROUND(30+30*(E48+0.5*calc!$AT$2/60)/(E48-E49),1)),"")</f>
        <v/>
      </c>
      <c r="L49" s="4" t="str">
        <f aca="false">IF(H49&lt;&gt;"",H49&amp;":"&amp;IF(I49&gt;=10,I49,"0"&amp;I49),"")</f>
        <v/>
      </c>
      <c r="M49" s="4" t="str">
        <f aca="false">IF(J49&lt;&gt;"",J49&amp;":"&amp;IF(K49&gt;=10,K49,"0"&amp;K49),"")</f>
        <v/>
      </c>
      <c r="N49" s="62" t="str">
        <f aca="false">IF(AND(E48&lt;E49,E50&lt;E49),D49+0.25*(E50-E48)/(2*E49-E48-E50),"")</f>
        <v/>
      </c>
      <c r="O49" s="6" t="str">
        <f aca="false">IF(N49&lt;&gt;"",INT(N49)&amp;":"&amp;IF(ROUND(60*MOD(D49+0.25*(E50-E48)/(2*E49-E48-E50),1),1)&gt;=10,ROUND(60*MOD(D49+0.25*(E50-E48)/(2*E49-E48-E50),1),1),"0"&amp;ROUND(60*MOD(D49+0.25*(E50-E48)/(2*E49-E48-E50),1),1)),"")</f>
        <v/>
      </c>
      <c r="P49" s="34" t="str">
        <f aca="false">IF(AND(F48&lt;180,F49&gt;180),D49-0.5*(F49-180)/(F49-F48),"")</f>
        <v/>
      </c>
      <c r="Q49" s="6" t="str">
        <f aca="false">IF(P49&lt;&gt;"",INT(P49)&amp;":"&amp;IF(ROUND(60*MOD(P49,1),1)&gt;=10,ROUND(60*MOD(P49,1),1),"0"&amp;ROUND(60*MOD(P49,1),1)),"")</f>
        <v/>
      </c>
      <c r="R49" s="4" t="n">
        <v>180</v>
      </c>
    </row>
    <row r="50" customFormat="false" ht="15" hidden="false" customHeight="false" outlineLevel="0" collapsed="false">
      <c r="D50" s="34" t="n">
        <f aca="false">calc!$A$50</f>
        <v>24</v>
      </c>
      <c r="E50" s="63" t="n">
        <f aca="false">calc!$G$50</f>
        <v>-1.59678181502914</v>
      </c>
      <c r="F50" s="64" t="n">
        <f aca="false">calc!$I$50</f>
        <v>264.609086962795</v>
      </c>
      <c r="G50" s="48" t="n">
        <f aca="false">calc!$H$50</f>
        <v>65.1986243138846</v>
      </c>
      <c r="H50" s="2" t="str">
        <f aca="false">IF(IF(AND(E50+0.5*calc!$AT$3/60&gt;0,E49+0.5*calc!$AT$2/60&lt;0),TRUE()),INT(D49),"")</f>
        <v/>
      </c>
      <c r="I50" s="59" t="str">
        <f aca="false">IF(IF(AND(E50+0.5*calc!$AT$3/60&gt;0,E49+0.5*calc!$AT$2/60&lt;0),TRUE()),IF(D49=INT(D49),ROUND(-30*(E49+0.5*calc!$AT$2/60)/(-E49+E50),1),ROUND(30-30*(E49+0.5*calc!$AT$2/60)/(-E49+E50),1)),"")</f>
        <v/>
      </c>
      <c r="J50" s="2" t="n">
        <f aca="false">IF(IF(AND(E50+0.5*calc!$AT$3/60&lt;0,E49+0.5*calc!$AT$2/60&gt;0),TRUE()),INT(D49),"")</f>
        <v>23</v>
      </c>
      <c r="K50" s="2" t="n">
        <f aca="false">IF(IF(AND(E50+0.5*calc!$AT$3/60&lt;0,E49+0.5*calc!$AT$2/60&gt;0),TRUE()),IF(D49=INT(D49),ROUND(30*(E49+0.5*calc!$AT$2/60)/(E49-E50),1),ROUND(30+30*(E49+0.5*calc!$AT$2/60)/(E49-E50),1)),"")</f>
        <v>50.2</v>
      </c>
      <c r="L50" s="4" t="str">
        <f aca="false">IF(H50&lt;&gt;"",H50&amp;":"&amp;IF(I50&gt;=10,I50,"0"&amp;I50),"")</f>
        <v/>
      </c>
      <c r="M50" s="4" t="str">
        <f aca="false">IF(J50&lt;&gt;"",J50&amp;":"&amp;IF(K50&gt;=10,K50,"0"&amp;K50),"")</f>
        <v>23:50,2</v>
      </c>
      <c r="N50" s="62" t="str">
        <f aca="false">IF(AND(E49&lt;E50,E51&lt;E50),D50+0.25*(E51-E49)/(2*E50-E49-E51),"")</f>
        <v/>
      </c>
      <c r="O50" s="6" t="str">
        <f aca="false">IF(N50&lt;&gt;"",INT(N50)&amp;":"&amp;IF(ROUND(60*MOD(D50+0.25*(E51-E49)/(2*E50-E49-E51),1),1)&gt;=10,ROUND(60*MOD(D50+0.25*(E51-E49)/(2*E50-E49-E51),1),1),"0"&amp;ROUND(60*MOD(D50+0.25*(E51-E49)/(2*E50-E49-E51),1),1)),"")</f>
        <v/>
      </c>
      <c r="P50" s="34" t="str">
        <f aca="false">IF(AND(F49&lt;180,F50&gt;180),D50-0.5*(F50-180)/(F50-F49),"")</f>
        <v/>
      </c>
      <c r="Q50" s="6" t="str">
        <f aca="false">IF(P50&lt;&gt;"",INT(P50)&amp;":"&amp;IF(ROUND(60*MOD(P50,1),1)&gt;=10,ROUND(60*MOD(P50,1),1),"0"&amp;ROUND(60*MOD(P50,1),1)),"")</f>
        <v/>
      </c>
      <c r="R50" s="4" t="n">
        <v>180</v>
      </c>
    </row>
    <row r="51" customFormat="false" ht="15" hidden="false" customHeight="false" outlineLevel="0" collapsed="false">
      <c r="D51" s="34" t="n">
        <v>24.5</v>
      </c>
      <c r="E51" s="63" t="n">
        <f aca="false">calc!$G$51</f>
        <v>-6.94775019230294</v>
      </c>
      <c r="F51" s="64" t="n">
        <f aca="false">calc!$I$51</f>
        <v>270.250781930864</v>
      </c>
      <c r="G51" s="48" t="n">
        <f aca="false">calc!$H$51</f>
        <v>65.4135714634222</v>
      </c>
      <c r="H51" s="2" t="str">
        <f aca="false">IF(IF(AND(E51+0.5*calc!$AT$3/60&gt;0,E50+0.5*calc!$AT$2/60&lt;0),TRUE()),INT(D50),"")</f>
        <v/>
      </c>
      <c r="I51" s="59" t="str">
        <f aca="false">IF(IF(AND(E51+0.5*calc!$AT$3/60&gt;0,E50+0.5*calc!$AT$2/60&lt;0),TRUE()),IF(D50=INT(D50),ROUND(-30*(E50+0.5*calc!$AT$2/60)/(-E50+E51),1),ROUND(30-30*(E50+0.5*calc!$AT$2/60)/(-E50+E51),1)),"")</f>
        <v/>
      </c>
      <c r="J51" s="2" t="str">
        <f aca="false">IF(IF(AND(E51+0.5*calc!$AT$3/60&lt;0,E50+0.5*calc!$AT$2/60&gt;0),TRUE()),INT(D50),"")</f>
        <v/>
      </c>
      <c r="K51" s="2" t="str">
        <f aca="false">IF(IF(AND(E51+0.5*calc!$AT$3/60&lt;0,E50+0.5*calc!$AT$2/60&gt;0),TRUE()),IF(D50=INT(D50),ROUND(30*(E50+0.5*calc!$AT$2/60)/(E50-E51),1),ROUND(30+30*(E50+0.5*calc!$AT$2/60)/(E50-E51),1)),"")</f>
        <v/>
      </c>
      <c r="L51" s="4" t="str">
        <f aca="false">IF(H51&lt;&gt;"",H51&amp;":"&amp;IF(I51&gt;=10,I51,"0"&amp;I51),"")</f>
        <v/>
      </c>
      <c r="M51" s="4" t="str">
        <f aca="false">IF(J51&lt;&gt;"",J51&amp;":"&amp;IF(K51&gt;=10,K51,"0"&amp;K51),"")</f>
        <v/>
      </c>
      <c r="N51" s="62" t="str">
        <f aca="false">IF(AND(E50&lt;E51,E52&lt;E51),D51+0.25*(E52-E50)/(2*E51-E50-E52),"")</f>
        <v/>
      </c>
      <c r="O51" s="6" t="str">
        <f aca="false">IF(N51&lt;&gt;"",INT(N51)&amp;":"&amp;IF(ROUND(60*MOD(D51+0.25*(E52-E50)/(2*E51-E50-E52),1),1)&gt;=10,ROUND(60*MOD(D51+0.25*(E52-E50)/(2*E51-E50-E52),1),1),"0"&amp;ROUND(60*MOD(D51+0.25*(E52-E50)/(2*E51-E50-E52),1),1)),"")</f>
        <v/>
      </c>
      <c r="P51" s="34" t="str">
        <f aca="false">IF(AND(F50&lt;180,F51&gt;180),D51-0.5*(F51-180)/(F51-F50),"")</f>
        <v/>
      </c>
      <c r="Q51" s="6" t="str">
        <f aca="false">IF(P51&lt;&gt;"",INT(P51)&amp;":"&amp;IF(ROUND(60*MOD(P51,1),1)&gt;=10,ROUND(60*MOD(P51,1),1),"0"&amp;ROUND(60*MOD(P51,1),1)),"")</f>
        <v/>
      </c>
      <c r="R51" s="4" t="n">
        <v>180</v>
      </c>
    </row>
    <row r="52" customFormat="false" ht="15" hidden="false" customHeight="false" outlineLevel="0" collapsed="false">
      <c r="D52" s="34" t="n">
        <v>25</v>
      </c>
      <c r="E52" s="39" t="n">
        <f aca="false">calc!$G$52</f>
        <v>-11.5014090547761</v>
      </c>
      <c r="F52" s="26" t="n">
        <f aca="false">calc!$I$52</f>
        <v>275.942964640374</v>
      </c>
      <c r="H52" s="2" t="str">
        <f aca="false">IF(IF(AND(E52+0.5*calc!$AT$3/60&gt;0,E51+0.5*calc!$AT$2/60&lt;0),TRUE()),INT(D51),"")</f>
        <v/>
      </c>
      <c r="I52" s="59" t="str">
        <f aca="false">IF(IF(AND(E52+0.5*calc!$AT$3/60&gt;0,E51+0.5*calc!$AT$2/60&lt;0),TRUE()),IF(D51=INT(D51),ROUND(-30*(E51+0.5*calc!$AT$2/60)/(-E51+E52),1),ROUND(30-30*(E51+0.5*calc!$AT$2/60)/(-E51+E52),1)),"")</f>
        <v/>
      </c>
      <c r="J52" s="2" t="str">
        <f aca="false">IF(IF(AND(E52+0.5*calc!$AT$3/60&lt;0,E51+0.5*calc!$AT$2/60&gt;0),TRUE()),INT(D51),"")</f>
        <v/>
      </c>
      <c r="K52" s="2" t="str">
        <f aca="false">IF(IF(AND(E52+0.5*calc!$AT$3/60&lt;0,E51+0.5*calc!$AT$2/60&gt;0),TRUE()),IF(D51=INT(D51),ROUND(30*(E51+0.5*calc!$AT$2/60)/(E51-E52),1),ROUND(30+30*(E51+0.5*calc!$AT$2/60)/(E51-E52),1)),"")</f>
        <v/>
      </c>
      <c r="L52" s="4" t="str">
        <f aca="false">IF(H52&lt;&gt;"",H52&amp;":"&amp;IF(I52&gt;=10,I52,"0"&amp;I52),"")</f>
        <v/>
      </c>
      <c r="M52" s="4" t="str">
        <f aca="false">IF(J52&lt;&gt;"",J52&amp;":"&amp;IF(K52&gt;=10,K52,"0"&amp;K52),"")</f>
        <v/>
      </c>
      <c r="N52" s="62" t="str">
        <f aca="false">IF(AND(E51&lt;E52,E53&lt;E52),D52+0.25*(E53-E51)/(2*E52-E51-E53),"")</f>
        <v/>
      </c>
      <c r="O52" s="6" t="str">
        <f aca="false">IF(N52&lt;&gt;"",INT(N52)&amp;":"&amp;IF(ROUND(60*MOD(D52+0.25*(E53-E51)/(2*E52-E51-E53),1),1)&gt;=10,ROUND(60*MOD(D52+0.25*(E53-E51)/(2*E52-E51-E53),1),1),"0"&amp;ROUND(60*MOD(D52+0.25*(E53-E51)/(2*E52-E51-E53),1),1)),"")</f>
        <v/>
      </c>
      <c r="P52" s="34" t="str">
        <f aca="false">IF(AND(F51&lt;180,F52&gt;180),D52-0.5*(F52-180)/(F52-F51),"")</f>
        <v/>
      </c>
      <c r="Q52" s="6" t="str">
        <f aca="false">IF(P52&lt;&gt;"",INT(P52)&amp;":"&amp;IF(ROUND(60*MOD(P52,1),1)&gt;=10,ROUND(60*MOD(P52,1),1),"0"&amp;ROUND(60*MOD(P52,1),1)),"")</f>
        <v/>
      </c>
      <c r="R52" s="4" t="n">
        <v>180</v>
      </c>
    </row>
    <row r="53" customFormat="false" ht="15" hidden="false" customHeight="false" outlineLevel="0" collapsed="false">
      <c r="D53" s="34" t="n">
        <v>25.5</v>
      </c>
      <c r="E53" s="39" t="n">
        <f aca="false">calc!$G$53</f>
        <v>-15.9846550002619</v>
      </c>
      <c r="F53" s="26" t="n">
        <f aca="false">calc!$I$53</f>
        <v>281.761910571889</v>
      </c>
      <c r="H53" s="2" t="str">
        <f aca="false">IF(IF(AND(E53+0.5*calc!$AT$3/60&gt;0,E52+0.5*calc!$AT$2/60&lt;0),TRUE()),INT(D52),"")</f>
        <v/>
      </c>
      <c r="I53" s="59" t="str">
        <f aca="false">IF(IF(AND(E53+0.5*calc!$AT$3/60&gt;0,E52+0.5*calc!$AT$2/60&lt;0),TRUE()),IF(D52=INT(D52),ROUND(-30*(E52+0.5*calc!$AT$2/60)/(-E52+E53),1),ROUND(30-30*(E52+0.5*calc!$AT$2/60)/(-E52+E53),1)),"")</f>
        <v/>
      </c>
      <c r="J53" s="2" t="str">
        <f aca="false">IF(IF(AND(E53+0.5*calc!$AT$3/60&lt;0,E52+0.5*calc!$AT$2/60&gt;0),TRUE()),INT(D52),"")</f>
        <v/>
      </c>
      <c r="K53" s="2" t="str">
        <f aca="false">IF(IF(AND(E53+0.5*calc!$AT$3/60&lt;0,E52+0.5*calc!$AT$2/60&gt;0),TRUE()),IF(D52=INT(D52),ROUND(30*(E52+0.5*calc!$AT$2/60)/(E52-E53),1),ROUND(30+30*(E52+0.5*calc!$AT$2/60)/(E52-E53),1)),"")</f>
        <v/>
      </c>
      <c r="L53" s="4" t="str">
        <f aca="false">IF(H53&lt;&gt;"",H53&amp;":"&amp;IF(I53&gt;=10,I53,"0"&amp;I53),"")</f>
        <v/>
      </c>
      <c r="M53" s="4" t="str">
        <f aca="false">IF(J53&lt;&gt;"",J53&amp;":"&amp;IF(K53&gt;=10,K53,"0"&amp;K53),"")</f>
        <v/>
      </c>
      <c r="N53" s="62" t="str">
        <f aca="false">IF(AND(E52&lt;E53,E54&lt;E53),D53+0.25*(E54-E52)/(2*E53-E52-E54),"")</f>
        <v/>
      </c>
      <c r="O53" s="6" t="str">
        <f aca="false">IF(N53&lt;&gt;"",INT(N53)&amp;":"&amp;IF(ROUND(60*MOD(D53+0.25*(E54-E52)/(2*E53-E52-E54),1),1)&gt;=10,ROUND(60*MOD(D53+0.25*(E54-E52)/(2*E53-E52-E54),1),1),"0"&amp;ROUND(60*MOD(D53+0.25*(E54-E52)/(2*E53-E52-E54),1),1)),"")</f>
        <v/>
      </c>
      <c r="P53" s="34" t="str">
        <f aca="false">IF(AND(F52&lt;180,F53&gt;180),D53-0.5*(F53-180)/(F53-F52),"")</f>
        <v/>
      </c>
      <c r="Q53" s="6" t="str">
        <f aca="false">IF(P53&lt;&gt;"",INT(P53)&amp;":"&amp;IF(ROUND(60*MOD(P53,1),1)&gt;=10,ROUND(60*MOD(P53,1),1),"0"&amp;ROUND(60*MOD(P53,1),1)),"")</f>
        <v/>
      </c>
      <c r="R53" s="4" t="n">
        <v>180</v>
      </c>
    </row>
    <row r="54" customFormat="false" ht="15" hidden="false" customHeight="false" outlineLevel="0" collapsed="false">
      <c r="D54" s="34" t="n">
        <v>26</v>
      </c>
      <c r="E54" s="39" t="n">
        <f aca="false">calc!$G$54</f>
        <v>-20.3682166840312</v>
      </c>
      <c r="F54" s="26" t="n">
        <f aca="false">calc!$I$54</f>
        <v>287.787491320714</v>
      </c>
      <c r="H54" s="2" t="str">
        <f aca="false">IF(IF(AND(E54+0.5*calc!$AT$3/60&gt;0,E53+0.5*calc!$AT$2/60&lt;0),TRUE()),INT(D53),"")</f>
        <v/>
      </c>
      <c r="I54" s="59" t="str">
        <f aca="false">IF(IF(AND(E54+0.5*calc!$AT$3/60&gt;0,E53+0.5*calc!$AT$2/60&lt;0),TRUE()),IF(D53=INT(D53),ROUND(-30*(E53+0.5*calc!$AT$2/60)/(-E53+E54),1),ROUND(30-30*(E53+0.5*calc!$AT$2/60)/(-E53+E54),1)),"")</f>
        <v/>
      </c>
      <c r="J54" s="2" t="str">
        <f aca="false">IF(IF(AND(E54+0.5*calc!$AT$3/60&lt;0,E53+0.5*calc!$AT$2/60&gt;0),TRUE()),INT(D53),"")</f>
        <v/>
      </c>
      <c r="K54" s="2" t="str">
        <f aca="false">IF(IF(AND(E54+0.5*calc!$AT$3/60&lt;0,E53+0.5*calc!$AT$2/60&gt;0),TRUE()),IF(D53=INT(D53),ROUND(30*(E53+0.5*calc!$AT$2/60)/(E53-E54),1),ROUND(30+30*(E53+0.5*calc!$AT$2/60)/(E53-E54),1)),"")</f>
        <v/>
      </c>
      <c r="L54" s="4" t="str">
        <f aca="false">IF(H54&lt;&gt;"",H54&amp;":"&amp;IF(I54&gt;=10,I54,"0"&amp;I54),"")</f>
        <v/>
      </c>
      <c r="M54" s="4" t="str">
        <f aca="false">IF(J54&lt;&gt;"",J54&amp;":"&amp;IF(K54&gt;=10,K54,"0"&amp;K54),"")</f>
        <v/>
      </c>
      <c r="N54" s="62" t="str">
        <f aca="false">IF(AND(E53&lt;E54,E55&lt;E54),D54+0.25*(E55-E53)/(2*E54-E53-E55),"")</f>
        <v/>
      </c>
      <c r="O54" s="6" t="str">
        <f aca="false">IF(N54&lt;&gt;"",INT(N54)&amp;":"&amp;IF(ROUND(60*MOD(D54+0.25*(E55-E53)/(2*E54-E53-E55),1),1)&gt;=10,ROUND(60*MOD(D54+0.25*(E55-E53)/(2*E54-E53-E55),1),1),"0"&amp;ROUND(60*MOD(D54+0.25*(E55-E53)/(2*E54-E53-E55),1),1)),"")</f>
        <v/>
      </c>
      <c r="P54" s="34" t="str">
        <f aca="false">IF(AND(F53&lt;180,F54&gt;180),D54-0.5*(F54-180)/(F54-F53),"")</f>
        <v/>
      </c>
      <c r="Q54" s="6" t="str">
        <f aca="false">IF(P54&lt;&gt;"",INT(P54)&amp;":"&amp;IF(ROUND(60*MOD(P54,1),1)&gt;=10,ROUND(60*MOD(P54,1),1),"0"&amp;ROUND(60*MOD(P54,1),1)),"")</f>
        <v/>
      </c>
      <c r="R54" s="4" t="n">
        <v>180</v>
      </c>
    </row>
    <row r="55" customFormat="false" ht="15" hidden="false" customHeight="false" outlineLevel="0" collapsed="false">
      <c r="D55" s="34" t="n">
        <v>26.5</v>
      </c>
      <c r="E55" s="39" t="n">
        <f aca="false">calc!$G$55</f>
        <v>-24.5951580658174</v>
      </c>
      <c r="F55" s="26" t="n">
        <f aca="false">calc!$I$55</f>
        <v>294.103203448583</v>
      </c>
      <c r="H55" s="2" t="str">
        <f aca="false">IF(IF(AND(E55+0.5*calc!$AT$3/60&gt;0,E54+0.5*calc!$AT$2/60&lt;0),TRUE()),INT(D54),"")</f>
        <v/>
      </c>
      <c r="I55" s="59" t="str">
        <f aca="false">IF(IF(AND(E55+0.5*calc!$AT$3/60&gt;0,E54+0.5*calc!$AT$2/60&lt;0),TRUE()),IF(D54=INT(D54),ROUND(-30*(E54+0.5*calc!$AT$2/60)/(-E54+E55),1),ROUND(30-30*(E54+0.5*calc!$AT$2/60)/(-E54+E55),1)),"")</f>
        <v/>
      </c>
      <c r="J55" s="2" t="str">
        <f aca="false">IF(IF(AND(E55+0.5*calc!$AT$3/60&lt;0,E54+0.5*calc!$AT$2/60&gt;0),TRUE()),INT(D54),"")</f>
        <v/>
      </c>
      <c r="K55" s="2" t="str">
        <f aca="false">IF(IF(AND(E55+0.5*calc!$AT$3/60&lt;0,E54+0.5*calc!$AT$2/60&gt;0),TRUE()),IF(D54=INT(D54),ROUND(30*(E54+0.5*calc!$AT$2/60)/(E54-E55),1),ROUND(30+30*(E54+0.5*calc!$AT$2/60)/(E54-E55),1)),"")</f>
        <v/>
      </c>
      <c r="L55" s="4" t="str">
        <f aca="false">IF(H55&lt;&gt;"",H55&amp;":"&amp;IF(I55&gt;=10,I55,"0"&amp;I55),"")</f>
        <v/>
      </c>
      <c r="M55" s="4" t="str">
        <f aca="false">IF(J55&lt;&gt;"",J55&amp;":"&amp;IF(K55&gt;=10,K55,"0"&amp;K55),"")</f>
        <v/>
      </c>
      <c r="N55" s="62" t="str">
        <f aca="false">IF(AND(E54&lt;E55,E56&lt;E55),D55+0.25*(E56-E54)/(2*E55-E54-E56),"")</f>
        <v/>
      </c>
      <c r="O55" s="6" t="str">
        <f aca="false">IF(N55&lt;&gt;"",INT(N55)&amp;":"&amp;IF(ROUND(60*MOD(D55+0.25*(E56-E54)/(2*E55-E54-E56),1),1)&gt;=10,ROUND(60*MOD(D55+0.25*(E56-E54)/(2*E55-E54-E56),1),1),"0"&amp;ROUND(60*MOD(D55+0.25*(E56-E54)/(2*E55-E54-E56),1),1)),"")</f>
        <v/>
      </c>
      <c r="P55" s="34" t="str">
        <f aca="false">IF(AND(F54&lt;180,F55&gt;180),D55-0.5*(F55-180)/(F55-F54),"")</f>
        <v/>
      </c>
      <c r="Q55" s="6" t="str">
        <f aca="false">IF(P55&lt;&gt;"",INT(P55)&amp;":"&amp;IF(ROUND(60*MOD(P55,1),1)&gt;=10,ROUND(60*MOD(P55,1),1),"0"&amp;ROUND(60*MOD(P55,1),1)),"")</f>
        <v/>
      </c>
      <c r="R55" s="4" t="n">
        <v>180</v>
      </c>
    </row>
    <row r="56" customFormat="false" ht="15" hidden="false" customHeight="false" outlineLevel="0" collapsed="false">
      <c r="D56" s="34" t="n">
        <v>27</v>
      </c>
      <c r="E56" s="39" t="n">
        <f aca="false">calc!$G$56</f>
        <v>-28.6016223354239</v>
      </c>
      <c r="F56" s="26" t="n">
        <f aca="false">calc!$I$56</f>
        <v>300.794643838627</v>
      </c>
      <c r="H56" s="2" t="str">
        <f aca="false">IF(IF(AND(E56+0.5*calc!$AT$3/60&gt;0,E55+0.5*calc!$AT$2/60&lt;0),TRUE()),INT(D55),"")</f>
        <v/>
      </c>
      <c r="I56" s="59" t="str">
        <f aca="false">IF(IF(AND(E56+0.5*calc!$AT$3/60&gt;0,E55+0.5*calc!$AT$2/60&lt;0),TRUE()),IF(D55=INT(D55),ROUND(-30*(E55+0.5*calc!$AT$2/60)/(-E55+E56),1),ROUND(30-30*(E55+0.5*calc!$AT$2/60)/(-E55+E56),1)),"")</f>
        <v/>
      </c>
      <c r="J56" s="2" t="str">
        <f aca="false">IF(IF(AND(E56+0.5*calc!$AT$3/60&lt;0,E55+0.5*calc!$AT$2/60&gt;0),TRUE()),INT(D55),"")</f>
        <v/>
      </c>
      <c r="K56" s="2" t="str">
        <f aca="false">IF(IF(AND(E56+0.5*calc!$AT$3/60&lt;0,E55+0.5*calc!$AT$2/60&gt;0),TRUE()),IF(D55=INT(D55),ROUND(30*(E55+0.5*calc!$AT$2/60)/(E55-E56),1),ROUND(30+30*(E55+0.5*calc!$AT$2/60)/(E55-E56),1)),"")</f>
        <v/>
      </c>
      <c r="L56" s="4" t="str">
        <f aca="false">IF(H56&lt;&gt;"",H56&amp;":"&amp;IF(I56&gt;=10,I56,"0"&amp;I56),"")</f>
        <v/>
      </c>
      <c r="M56" s="4" t="str">
        <f aca="false">IF(J56&lt;&gt;"",J56&amp;":"&amp;IF(K56&gt;=10,K56,"0"&amp;K56),"")</f>
        <v/>
      </c>
      <c r="N56" s="62" t="str">
        <f aca="false">IF(AND(E55&lt;E56,E57&lt;E56),D56+0.25*(E57-E55)/(2*E56-E55-E57),"")</f>
        <v/>
      </c>
      <c r="O56" s="6" t="str">
        <f aca="false">IF(N56&lt;&gt;"",INT(N56)&amp;":"&amp;IF(ROUND(60*MOD(D56+0.25*(E57-E55)/(2*E56-E55-E57),1),1)&gt;=10,ROUND(60*MOD(D56+0.25*(E57-E55)/(2*E56-E55-E57),1),1),"0"&amp;ROUND(60*MOD(D56+0.25*(E57-E55)/(2*E56-E55-E57),1),1)),"")</f>
        <v/>
      </c>
      <c r="P56" s="34" t="str">
        <f aca="false">IF(AND(F55&lt;180,F56&gt;180),D56-0.5*(F56-180)/(F56-F55),"")</f>
        <v/>
      </c>
      <c r="Q56" s="6" t="str">
        <f aca="false">IF(P56&lt;&gt;"",INT(P56)&amp;":"&amp;IF(ROUND(60*MOD(P56,1),1)&gt;=10,ROUND(60*MOD(P56,1),1),"0"&amp;ROUND(60*MOD(P56,1),1)),"")</f>
        <v/>
      </c>
      <c r="R56" s="4" t="n">
        <v>180</v>
      </c>
    </row>
    <row r="57" customFormat="false" ht="15" hidden="false" customHeight="false" outlineLevel="0" collapsed="false">
      <c r="D57" s="34" t="n">
        <v>27.5</v>
      </c>
      <c r="E57" s="39" t="n">
        <f aca="false">calc!$G$57</f>
        <v>-32.3152718197998</v>
      </c>
      <c r="F57" s="26" t="n">
        <f aca="false">calc!$I$57</f>
        <v>307.945181958824</v>
      </c>
      <c r="H57" s="2" t="str">
        <f aca="false">IF(IF(AND(E57+0.5*calc!$AT$3/60&gt;0,E56+0.5*calc!$AT$2/60&lt;0),TRUE()),INT(D56),"")</f>
        <v/>
      </c>
      <c r="I57" s="59" t="str">
        <f aca="false">IF(IF(AND(E57+0.5*calc!$AT$3/60&gt;0,E56+0.5*calc!$AT$2/60&lt;0),TRUE()),IF(D56=INT(D56),ROUND(-30*(E56+0.5*calc!$AT$2/60)/(-E56+E57),1),ROUND(30-30*(E56+0.5*calc!$AT$2/60)/(-E56+E57),1)),"")</f>
        <v/>
      </c>
      <c r="J57" s="2" t="str">
        <f aca="false">IF(IF(AND(E57+0.5*calc!$AT$3/60&lt;0,E56+0.5*calc!$AT$2/60&gt;0),TRUE()),INT(D56),"")</f>
        <v/>
      </c>
      <c r="K57" s="2" t="str">
        <f aca="false">IF(IF(AND(E57+0.5*calc!$AT$3/60&lt;0,E56+0.5*calc!$AT$2/60&gt;0),TRUE()),IF(D56=INT(D56),ROUND(30*(E56+0.5*calc!$AT$2/60)/(E56-E57),1),ROUND(30+30*(E56+0.5*calc!$AT$2/60)/(E56-E57),1)),"")</f>
        <v/>
      </c>
      <c r="L57" s="4" t="str">
        <f aca="false">IF(H57&lt;&gt;"",H57&amp;":"&amp;IF(I57&gt;=10,I57,"0"&amp;I57),"")</f>
        <v/>
      </c>
      <c r="M57" s="4" t="str">
        <f aca="false">IF(J57&lt;&gt;"",J57&amp;":"&amp;IF(K57&gt;=10,K57,"0"&amp;K57),"")</f>
        <v/>
      </c>
      <c r="N57" s="62" t="str">
        <f aca="false">IF(AND(E56&lt;E57,E58&lt;E57),D57+0.25*(E58-E56)/(2*E57-E56-E58),"")</f>
        <v/>
      </c>
      <c r="O57" s="6" t="str">
        <f aca="false">IF(N57&lt;&gt;"",INT(N57)&amp;":"&amp;IF(ROUND(60*MOD(D57+0.25*(E58-E56)/(2*E57-E56-E58),1),1)&gt;=10,ROUND(60*MOD(D57+0.25*(E58-E56)/(2*E57-E56-E58),1),1),"0"&amp;ROUND(60*MOD(D57+0.25*(E58-E56)/(2*E57-E56-E58),1),1)),"")</f>
        <v/>
      </c>
      <c r="P57" s="34" t="str">
        <f aca="false">IF(AND(F56&lt;180,F57&gt;180),D57-0.5*(F57-180)/(F57-F56),"")</f>
        <v/>
      </c>
      <c r="Q57" s="6" t="str">
        <f aca="false">IF(P57&lt;&gt;"",INT(P57)&amp;":"&amp;IF(ROUND(60*MOD(P57,1),1)&gt;=10,ROUND(60*MOD(P57,1),1),"0"&amp;ROUND(60*MOD(P57,1),1)),"")</f>
        <v/>
      </c>
      <c r="R57" s="4" t="n">
        <v>180</v>
      </c>
    </row>
    <row r="58" customFormat="false" ht="15" hidden="false" customHeight="false" outlineLevel="0" collapsed="false">
      <c r="D58" s="34" t="n">
        <v>28</v>
      </c>
      <c r="E58" s="39" t="n">
        <f aca="false">calc!$G$58</f>
        <v>-35.6539811007496</v>
      </c>
      <c r="F58" s="26" t="n">
        <f aca="false">calc!$I$58</f>
        <v>315.627258140191</v>
      </c>
      <c r="H58" s="2" t="str">
        <f aca="false">IF(IF(AND(E58+0.5*calc!$AT$3/60&gt;0,E57+0.5*calc!$AT$2/60&lt;0),TRUE()),INT(D57),"")</f>
        <v/>
      </c>
      <c r="I58" s="59" t="str">
        <f aca="false">IF(IF(AND(E58+0.5*calc!$AT$3/60&gt;0,E57+0.5*calc!$AT$2/60&lt;0),TRUE()),IF(D57=INT(D57),ROUND(-30*(E57+0.5*calc!$AT$2/60)/(-E57+E58),1),ROUND(30-30*(E57+0.5*calc!$AT$2/60)/(-E57+E58),1)),"")</f>
        <v/>
      </c>
      <c r="J58" s="2" t="str">
        <f aca="false">IF(IF(AND(E58+0.5*calc!$AT$3/60&lt;0,E57+0.5*calc!$AT$2/60&gt;0),TRUE()),INT(D57),"")</f>
        <v/>
      </c>
      <c r="K58" s="2" t="str">
        <f aca="false">IF(IF(AND(E58+0.5*calc!$AT$3/60&lt;0,E57+0.5*calc!$AT$2/60&gt;0),TRUE()),IF(D57=INT(D57),ROUND(30*(E57+0.5*calc!$AT$2/60)/(E57-E58),1),ROUND(30+30*(E57+0.5*calc!$AT$2/60)/(E57-E58),1)),"")</f>
        <v/>
      </c>
      <c r="L58" s="4" t="str">
        <f aca="false">IF(H58&lt;&gt;"",H58&amp;":"&amp;IF(I58&gt;=10,I58,"0"&amp;I58),"")</f>
        <v/>
      </c>
      <c r="M58" s="4" t="str">
        <f aca="false">IF(J58&lt;&gt;"",J58&amp;":"&amp;IF(K58&gt;=10,K58,"0"&amp;K58),"")</f>
        <v/>
      </c>
      <c r="N58" s="62" t="str">
        <f aca="false">IF(AND(E57&lt;E58,E59&lt;E58),D58+0.25*(E59-E57)/(2*E58-E57-E59),"")</f>
        <v/>
      </c>
      <c r="O58" s="6" t="str">
        <f aca="false">IF(N58&lt;&gt;"",INT(N58)&amp;":"&amp;IF(ROUND(60*MOD(D58+0.25*(E59-E57)/(2*E58-E57-E59),1),1)&gt;=10,ROUND(60*MOD(D58+0.25*(E59-E57)/(2*E58-E57-E59),1),1),"0"&amp;ROUND(60*MOD(D58+0.25*(E59-E57)/(2*E58-E57-E59),1),1)),"")</f>
        <v/>
      </c>
      <c r="P58" s="34" t="str">
        <f aca="false">IF(AND(F57&lt;180,F58&gt;180),D58-0.5*(F58-180)/(F58-F57),"")</f>
        <v/>
      </c>
      <c r="Q58" s="6" t="str">
        <f aca="false">IF(P58&lt;&gt;"",INT(P58)&amp;":"&amp;IF(ROUND(60*MOD(P58,1),1)&gt;=10,ROUND(60*MOD(P58,1),1),"0"&amp;ROUND(60*MOD(P58,1),1)),"")</f>
        <v/>
      </c>
      <c r="R58" s="4" t="n">
        <v>180</v>
      </c>
    </row>
    <row r="59" customFormat="false" ht="15" hidden="false" customHeight="false" outlineLevel="0" collapsed="false">
      <c r="D59" s="34" t="n">
        <v>28.5</v>
      </c>
      <c r="E59" s="39" t="n">
        <f aca="false">calc!$G$59</f>
        <v>-38.5264594608085</v>
      </c>
      <c r="F59" s="26" t="n">
        <f aca="false">calc!$I$59</f>
        <v>323.887966734152</v>
      </c>
      <c r="H59" s="2" t="str">
        <f aca="false">IF(IF(AND(E59+0.5*calc!$AT$3/60&gt;0,E58+0.5*calc!$AT$2/60&lt;0),TRUE()),INT(D58),"")</f>
        <v/>
      </c>
      <c r="I59" s="59" t="str">
        <f aca="false">IF(IF(AND(E59+0.5*calc!$AT$3/60&gt;0,E58+0.5*calc!$AT$2/60&lt;0),TRUE()),IF(D58=INT(D58),ROUND(-30*(E58+0.5*calc!$AT$2/60)/(-E58+E59),1),ROUND(30-30*(E58+0.5*calc!$AT$2/60)/(-E58+E59),1)),"")</f>
        <v/>
      </c>
      <c r="J59" s="2" t="str">
        <f aca="false">IF(IF(AND(E59+0.5*calc!$AT$3/60&lt;0,E58+0.5*calc!$AT$2/60&gt;0),TRUE()),INT(D58),"")</f>
        <v/>
      </c>
      <c r="K59" s="2" t="str">
        <f aca="false">IF(IF(AND(E59+0.5*calc!$AT$3/60&lt;0,E58+0.5*calc!$AT$2/60&gt;0),TRUE()),IF(D58=INT(D58),ROUND(30*(E58+0.5*calc!$AT$2/60)/(E58-E59),1),ROUND(30+30*(E58+0.5*calc!$AT$2/60)/(E58-E59),1)),"")</f>
        <v/>
      </c>
      <c r="L59" s="4" t="str">
        <f aca="false">IF(H59&lt;&gt;"",H59&amp;":"&amp;IF(I59&gt;=10,I59,"0"&amp;I59),"")</f>
        <v/>
      </c>
      <c r="M59" s="4" t="str">
        <f aca="false">IF(J59&lt;&gt;"",J59&amp;":"&amp;IF(K59&gt;=10,K59,"0"&amp;K59),"")</f>
        <v/>
      </c>
      <c r="N59" s="62" t="str">
        <f aca="false">IF(AND(E58&lt;E59,E60&lt;E59),D59+0.25*(E60-E58)/(2*E59-E58-E60),"")</f>
        <v/>
      </c>
      <c r="O59" s="6" t="str">
        <f aca="false">IF(N59&lt;&gt;"",INT(N59)&amp;":"&amp;IF(ROUND(60*MOD(D59+0.25*(E60-E58)/(2*E59-E58-E60),1),1)&gt;=10,ROUND(60*MOD(D59+0.25*(E60-E58)/(2*E59-E58-E60),1),1),"0"&amp;ROUND(60*MOD(D59+0.25*(E60-E58)/(2*E59-E58-E60),1),1)),"")</f>
        <v/>
      </c>
      <c r="P59" s="34" t="str">
        <f aca="false">IF(AND(F58&lt;180,F59&gt;180),D59-0.5*(F59-180)/(F59-F58),"")</f>
        <v/>
      </c>
      <c r="Q59" s="6" t="str">
        <f aca="false">IF(P59&lt;&gt;"",INT(P59)&amp;":"&amp;IF(ROUND(60*MOD(P59,1),1)&gt;=10,ROUND(60*MOD(P59,1),1),"0"&amp;ROUND(60*MOD(P59,1),1)),"")</f>
        <v/>
      </c>
      <c r="R59" s="4" t="n">
        <v>180</v>
      </c>
    </row>
    <row r="60" customFormat="false" ht="15" hidden="false" customHeight="false" outlineLevel="0" collapsed="false">
      <c r="D60" s="34" t="n">
        <v>29</v>
      </c>
      <c r="E60" s="39" t="n">
        <f aca="false">calc!$G$60</f>
        <v>-40.8360913714679</v>
      </c>
      <c r="F60" s="26" t="n">
        <f aca="false">calc!$I$60</f>
        <v>332.729272602867</v>
      </c>
      <c r="H60" s="2" t="str">
        <f aca="false">IF(IF(AND(E60+0.5*calc!$AT$3/60&gt;0,E59+0.5*calc!$AT$2/60&lt;0),TRUE()),INT(D59),"")</f>
        <v/>
      </c>
      <c r="I60" s="59" t="str">
        <f aca="false">IF(IF(AND(E60+0.5*calc!$AT$3/60&gt;0,E59+0.5*calc!$AT$2/60&lt;0),TRUE()),IF(D59=INT(D59),ROUND(-30*(E59+0.5*calc!$AT$2/60)/(-E59+E60),1),ROUND(30-30*(E59+0.5*calc!$AT$2/60)/(-E59+E60),1)),"")</f>
        <v/>
      </c>
      <c r="J60" s="2" t="str">
        <f aca="false">IF(IF(AND(E60+0.5*calc!$AT$3/60&lt;0,E59+0.5*calc!$AT$2/60&gt;0),TRUE()),INT(D59),"")</f>
        <v/>
      </c>
      <c r="K60" s="2" t="str">
        <f aca="false">IF(IF(AND(E60+0.5*calc!$AT$3/60&lt;0,E59+0.5*calc!$AT$2/60&gt;0),TRUE()),IF(D59=INT(D59),ROUND(30*(E59+0.5*calc!$AT$2/60)/(E59-E60),1),ROUND(30+30*(E59+0.5*calc!$AT$2/60)/(E59-E60),1)),"")</f>
        <v/>
      </c>
      <c r="L60" s="4" t="str">
        <f aca="false">IF(H60&lt;&gt;"",H60&amp;":"&amp;IF(I60&gt;=10,I60,"0"&amp;I60),"")</f>
        <v/>
      </c>
      <c r="M60" s="4" t="str">
        <f aca="false">IF(J60&lt;&gt;"",J60&amp;":"&amp;IF(K60&gt;=10,K60,"0"&amp;K60),"")</f>
        <v/>
      </c>
      <c r="N60" s="62" t="str">
        <f aca="false">IF(AND(E59&lt;E60,E61&lt;E60),D60+0.25*(E61-E59)/(2*E60-E59-E61),"")</f>
        <v/>
      </c>
      <c r="O60" s="6" t="str">
        <f aca="false">IF(N60&lt;&gt;"",INT(N60)&amp;":"&amp;IF(ROUND(60*MOD(D60+0.25*(E61-E59)/(2*E60-E59-E61),1),1)&gt;=10,ROUND(60*MOD(D60+0.25*(E61-E59)/(2*E60-E59-E61),1),1),"0"&amp;ROUND(60*MOD(D60+0.25*(E61-E59)/(2*E60-E59-E61),1),1)),"")</f>
        <v/>
      </c>
      <c r="P60" s="34" t="str">
        <f aca="false">IF(AND(F59&lt;180,F60&gt;180),D60-0.5*(F60-180)/(F60-F59),"")</f>
        <v/>
      </c>
      <c r="Q60" s="6" t="str">
        <f aca="false">IF(P60&lt;&gt;"",INT(P60)&amp;":"&amp;IF(ROUND(60*MOD(P60,1),1)&gt;=10,ROUND(60*MOD(P60,1),1),"0"&amp;ROUND(60*MOD(P60,1),1)),"")</f>
        <v/>
      </c>
      <c r="R60" s="4" t="n">
        <v>180</v>
      </c>
    </row>
    <row r="61" customFormat="false" ht="15" hidden="false" customHeight="false" outlineLevel="0" collapsed="false">
      <c r="D61" s="34" t="n">
        <v>29.5</v>
      </c>
      <c r="E61" s="39" t="n">
        <f aca="false">calc!$G$61</f>
        <v>-42.4891330988032</v>
      </c>
      <c r="F61" s="26" t="n">
        <f aca="false">calc!$I$61</f>
        <v>342.0872239275</v>
      </c>
      <c r="H61" s="2" t="str">
        <f aca="false">IF(IF(AND(E61+0.5*calc!$AT$3/60&gt;0,E60+0.5*calc!$AT$2/60&lt;0),TRUE()),INT(D60),"")</f>
        <v/>
      </c>
      <c r="I61" s="59" t="str">
        <f aca="false">IF(IF(AND(E61+0.5*calc!$AT$3/60&gt;0,E60+0.5*calc!$AT$2/60&lt;0),TRUE()),IF(D60=INT(D60),ROUND(-30*(E60+0.5*calc!$AT$2/60)/(-E60+E61),1),ROUND(30-30*(E60+0.5*calc!$AT$2/60)/(-E60+E61),1)),"")</f>
        <v/>
      </c>
      <c r="J61" s="2" t="str">
        <f aca="false">IF(IF(AND(E61+0.5*calc!$AT$3/60&lt;0,E60+0.5*calc!$AT$2/60&gt;0),TRUE()),INT(D60),"")</f>
        <v/>
      </c>
      <c r="K61" s="2" t="str">
        <f aca="false">IF(IF(AND(E61+0.5*calc!$AT$3/60&lt;0,E60+0.5*calc!$AT$2/60&gt;0),TRUE()),IF(D60=INT(D60),ROUND(30*(E60+0.5*calc!$AT$2/60)/(E60-E61),1),ROUND(30+30*(E60+0.5*calc!$AT$2/60)/(E60-E61),1)),"")</f>
        <v/>
      </c>
      <c r="L61" s="4" t="str">
        <f aca="false">IF(H61&lt;&gt;"",H61&amp;":"&amp;IF(I61&gt;=10,I61,"0"&amp;I61),"")</f>
        <v/>
      </c>
      <c r="M61" s="4" t="str">
        <f aca="false">IF(J61&lt;&gt;"",J61&amp;":"&amp;IF(K61&gt;=10,K61,"0"&amp;K61),"")</f>
        <v/>
      </c>
      <c r="N61" s="62" t="str">
        <f aca="false">IF(AND(E60&lt;E61,E62&lt;E61),D61+0.25*(E62-E60)/(2*E61-E60-E62),"")</f>
        <v/>
      </c>
      <c r="O61" s="6" t="str">
        <f aca="false">IF(N61&lt;&gt;"",INT(N61)&amp;":"&amp;IF(ROUND(60*MOD(D61+0.25*(E62-E60)/(2*E61-E60-E62),1),1)&gt;=10,ROUND(60*MOD(D61+0.25*(E62-E60)/(2*E61-E60-E62),1),1),"0"&amp;ROUND(60*MOD(D61+0.25*(E62-E60)/(2*E61-E60-E62),1),1)),"")</f>
        <v/>
      </c>
      <c r="P61" s="34" t="str">
        <f aca="false">IF(AND(F60&lt;180,F61&gt;180),D61-0.5*(F61-180)/(F61-F60),"")</f>
        <v/>
      </c>
      <c r="Q61" s="6" t="str">
        <f aca="false">IF(P61&lt;&gt;"",INT(P61)&amp;":"&amp;IF(ROUND(60*MOD(P61,1),1)&gt;=10,ROUND(60*MOD(P61,1),1),"0"&amp;ROUND(60*MOD(P61,1),1)),"")</f>
        <v/>
      </c>
      <c r="R61" s="4" t="n">
        <v>180</v>
      </c>
    </row>
    <row r="62" customFormat="false" ht="15" hidden="false" customHeight="false" outlineLevel="0" collapsed="false">
      <c r="D62" s="34" t="n">
        <v>30</v>
      </c>
      <c r="E62" s="39" t="n">
        <f aca="false">calc!$G$62</f>
        <v>-43.4071399094328</v>
      </c>
      <c r="F62" s="26" t="n">
        <f aca="false">calc!$I$62</f>
        <v>351.819990976572</v>
      </c>
      <c r="H62" s="2" t="str">
        <f aca="false">IF(IF(AND(E62+0.5*calc!$AT$3/60&gt;0,E61+0.5*calc!$AT$2/60&lt;0),TRUE()),INT(D61),"")</f>
        <v/>
      </c>
      <c r="I62" s="59" t="str">
        <f aca="false">IF(IF(AND(E62+0.5*calc!$AT$3/60&gt;0,E61+0.5*calc!$AT$2/60&lt;0),TRUE()),IF(D61=INT(D61),ROUND(-30*(E61+0.5*calc!$AT$2/60)/(-E61+E62),1),ROUND(30-30*(E61+0.5*calc!$AT$2/60)/(-E61+E62),1)),"")</f>
        <v/>
      </c>
      <c r="J62" s="2" t="str">
        <f aca="false">IF(IF(AND(E62+0.5*calc!$AT$3/60&lt;0,E61+0.5*calc!$AT$2/60&gt;0),TRUE()),INT(D61),"")</f>
        <v/>
      </c>
      <c r="K62" s="2" t="str">
        <f aca="false">IF(IF(AND(E62+0.5*calc!$AT$3/60&lt;0,E61+0.5*calc!$AT$2/60&gt;0),TRUE()),IF(D61=INT(D61),ROUND(30*(E61+0.5*calc!$AT$2/60)/(E61-E62),1),ROUND(30+30*(E61+0.5*calc!$AT$2/60)/(E61-E62),1)),"")</f>
        <v/>
      </c>
      <c r="L62" s="4" t="str">
        <f aca="false">IF(H62&lt;&gt;"",H62&amp;":"&amp;IF(I62&gt;=10,I62,"0"&amp;I62),"")</f>
        <v/>
      </c>
      <c r="M62" s="4" t="str">
        <f aca="false">IF(J62&lt;&gt;"",J62&amp;":"&amp;IF(K62&gt;=10,K62,"0"&amp;K62),"")</f>
        <v/>
      </c>
      <c r="N62" s="62" t="str">
        <f aca="false">IF(AND(E61&lt;E62,E63&lt;E62),D62+0.25*(E63-E61)/(2*E62-E61-E63),"")</f>
        <v/>
      </c>
      <c r="O62" s="6" t="str">
        <f aca="false">IF(N62&lt;&gt;"",INT(N62)&amp;":"&amp;IF(ROUND(60*MOD(D62+0.25*(E63-E61)/(2*E62-E61-E63),1),1)&gt;=10,ROUND(60*MOD(D62+0.25*(E63-E61)/(2*E62-E61-E63),1),1),"0"&amp;ROUND(60*MOD(D62+0.25*(E63-E61)/(2*E62-E61-E63),1),1)),"")</f>
        <v/>
      </c>
      <c r="P62" s="34" t="str">
        <f aca="false">IF(AND(F61&lt;180,F62&gt;180),D62-0.5*(F62-180)/(F62-F61),"")</f>
        <v/>
      </c>
      <c r="Q62" s="6" t="str">
        <f aca="false">IF(P62&lt;&gt;"",INT(P62)&amp;":"&amp;IF(ROUND(60*MOD(P62,1),1)&gt;=10,ROUND(60*MOD(P62,1),1),"0"&amp;ROUND(60*MOD(P62,1),1)),"")</f>
        <v/>
      </c>
      <c r="R62" s="4" t="n">
        <v>180</v>
      </c>
    </row>
    <row r="63" customFormat="false" ht="15" hidden="false" customHeight="false" outlineLevel="0" collapsed="false">
      <c r="D63" s="34" t="n">
        <v>30.5</v>
      </c>
      <c r="E63" s="39" t="n">
        <f aca="false">calc!$G$63</f>
        <v>-43.5409481611711</v>
      </c>
      <c r="F63" s="26" t="n">
        <f aca="false">calc!$I$63</f>
        <v>1.71682859105152</v>
      </c>
      <c r="H63" s="2" t="str">
        <f aca="false">IF(IF(AND(E63+0.5*calc!$AT$3/60&gt;0,E62+0.5*calc!$AT$2/60&lt;0),TRUE()),INT(D62),"")</f>
        <v/>
      </c>
      <c r="I63" s="59" t="str">
        <f aca="false">IF(IF(AND(E63+0.5*calc!$AT$3/60&gt;0,E62+0.5*calc!$AT$2/60&lt;0),TRUE()),IF(D62=INT(D62),ROUND(-30*(E62+0.5*calc!$AT$2/60)/(-E62+E63),1),ROUND(30-30*(E62+0.5*calc!$AT$2/60)/(-E62+E63),1)),"")</f>
        <v/>
      </c>
      <c r="J63" s="2" t="str">
        <f aca="false">IF(IF(AND(E63+0.5*calc!$AT$3/60&lt;0,E62+0.5*calc!$AT$2/60&gt;0),TRUE()),INT(D62),"")</f>
        <v/>
      </c>
      <c r="K63" s="2" t="str">
        <f aca="false">IF(IF(AND(E63+0.5*calc!$AT$3/60&lt;0,E62+0.5*calc!$AT$2/60&gt;0),TRUE()),IF(D62=INT(D62),ROUND(30*(E62+0.5*calc!$AT$2/60)/(E62-E63),1),ROUND(30+30*(E62+0.5*calc!$AT$2/60)/(E62-E63),1)),"")</f>
        <v/>
      </c>
      <c r="L63" s="4" t="str">
        <f aca="false">IF(H63&lt;&gt;"",H63&amp;":"&amp;IF(I63&gt;=10,I63,"0"&amp;I63),"")</f>
        <v/>
      </c>
      <c r="M63" s="4" t="str">
        <f aca="false">IF(J63&lt;&gt;"",J63&amp;":"&amp;IF(K63&gt;=10,K63,"0"&amp;K63),"")</f>
        <v/>
      </c>
      <c r="N63" s="62" t="str">
        <f aca="false">IF(AND(E62&lt;E63,E64&lt;E63),D63+0.25*(E64-E62)/(2*E63-E62-E64),"")</f>
        <v/>
      </c>
      <c r="O63" s="6" t="str">
        <f aca="false">IF(N63&lt;&gt;"",INT(N63)&amp;":"&amp;IF(ROUND(60*MOD(D63+0.25*(E64-E62)/(2*E63-E62-E64),1),1)&gt;=10,ROUND(60*MOD(D63+0.25*(E64-E62)/(2*E63-E62-E64),1),1),"0"&amp;ROUND(60*MOD(D63+0.25*(E64-E62)/(2*E63-E62-E64),1),1)),"")</f>
        <v/>
      </c>
      <c r="P63" s="34" t="str">
        <f aca="false">IF(AND(F62&lt;180,F63&gt;180),D63-0.5*(F63-180)/(F63-F62),"")</f>
        <v/>
      </c>
      <c r="Q63" s="6" t="str">
        <f aca="false">IF(P63&lt;&gt;"",INT(P63)&amp;":"&amp;IF(ROUND(60*MOD(P63,1),1)&gt;=10,ROUND(60*MOD(P63,1),1),"0"&amp;ROUND(60*MOD(P63,1),1)),"")</f>
        <v/>
      </c>
      <c r="R63" s="4" t="n">
        <v>180</v>
      </c>
    </row>
    <row r="64" customFormat="false" ht="15" hidden="false" customHeight="false" outlineLevel="0" collapsed="false">
      <c r="D64" s="34" t="n">
        <v>31</v>
      </c>
      <c r="E64" s="39" t="n">
        <f aca="false">calc!$G$64</f>
        <v>-42.8810899606958</v>
      </c>
      <c r="F64" s="26" t="n">
        <f aca="false">calc!$I$64</f>
        <v>11.5328154740282</v>
      </c>
      <c r="H64" s="2" t="str">
        <f aca="false">IF(IF(AND(E64+0.5*calc!$AT$3/60&gt;0,E63+0.5*calc!$AT$2/60&lt;0),TRUE()),INT(D63),"")</f>
        <v/>
      </c>
      <c r="I64" s="59" t="str">
        <f aca="false">IF(IF(AND(E64+0.5*calc!$AT$3/60&gt;0,E63+0.5*calc!$AT$2/60&lt;0),TRUE()),IF(D63=INT(D63),ROUND(-30*(E63+0.5*calc!$AT$2/60)/(-E63+E64),1),ROUND(30-30*(E63+0.5*calc!$AT$2/60)/(-E63+E64),1)),"")</f>
        <v/>
      </c>
      <c r="J64" s="2" t="str">
        <f aca="false">IF(IF(AND(E64+0.5*calc!$AT$3/60&lt;0,E63+0.5*calc!$AT$2/60&gt;0),TRUE()),INT(D63),"")</f>
        <v/>
      </c>
      <c r="K64" s="2" t="str">
        <f aca="false">IF(IF(AND(E64+0.5*calc!$AT$3/60&lt;0,E63+0.5*calc!$AT$2/60&gt;0),TRUE()),IF(D63=INT(D63),ROUND(30*(E63+0.5*calc!$AT$2/60)/(E63-E64),1),ROUND(30+30*(E63+0.5*calc!$AT$2/60)/(E63-E64),1)),"")</f>
        <v/>
      </c>
      <c r="L64" s="4" t="str">
        <f aca="false">IF(H64&lt;&gt;"",H64&amp;":"&amp;IF(I64&gt;=10,I64,"0"&amp;I64),"")</f>
        <v/>
      </c>
      <c r="M64" s="4" t="str">
        <f aca="false">IF(J64&lt;&gt;"",J64&amp;":"&amp;IF(K64&gt;=10,K64,"0"&amp;K64),"")</f>
        <v/>
      </c>
      <c r="N64" s="62" t="str">
        <f aca="false">IF(AND(E63&lt;E64,E65&lt;E64),D64+0.25*(E65-E63)/(2*E64-E63-E65),"")</f>
        <v/>
      </c>
      <c r="O64" s="6" t="str">
        <f aca="false">IF(N64&lt;&gt;"",INT(N64)&amp;":"&amp;IF(ROUND(60*MOD(D64+0.25*(E65-E63)/(2*E64-E63-E65),1),1)&gt;=10,ROUND(60*MOD(D64+0.25*(E65-E63)/(2*E64-E63-E65),1),1),"0"&amp;ROUND(60*MOD(D64+0.25*(E65-E63)/(2*E64-E63-E65),1),1)),"")</f>
        <v/>
      </c>
      <c r="P64" s="34" t="str">
        <f aca="false">IF(AND(F63&lt;180,F64&gt;180),D64-0.5*(F64-180)/(F64-F63),"")</f>
        <v/>
      </c>
      <c r="Q64" s="6" t="str">
        <f aca="false">IF(P64&lt;&gt;"",INT(P64)&amp;":"&amp;IF(ROUND(60*MOD(P64,1),1)&gt;=10,ROUND(60*MOD(P64,1),1),"0"&amp;ROUND(60*MOD(P64,1),1)),"")</f>
        <v/>
      </c>
      <c r="R64" s="4" t="n">
        <v>180</v>
      </c>
    </row>
    <row r="65" customFormat="false" ht="15" hidden="false" customHeight="false" outlineLevel="0" collapsed="false">
      <c r="D65" s="34" t="n">
        <v>31.5</v>
      </c>
      <c r="E65" s="39" t="n">
        <f aca="false">calc!$G$65</f>
        <v>-41.4597645422966</v>
      </c>
      <c r="F65" s="26" t="n">
        <f aca="false">calc!$I$65</f>
        <v>21.0385160382342</v>
      </c>
      <c r="H65" s="2" t="str">
        <f aca="false">IF(IF(AND(E65+0.5*calc!$AT$3/60&gt;0,E64+0.5*calc!$AT$2/60&lt;0),TRUE()),INT(D64),"")</f>
        <v/>
      </c>
      <c r="I65" s="59" t="str">
        <f aca="false">IF(IF(AND(E65+0.5*calc!$AT$3/60&gt;0,E64+0.5*calc!$AT$2/60&lt;0),TRUE()),IF(D64=INT(D64),ROUND(-30*(E64+0.5*calc!$AT$2/60)/(-E64+E65),1),ROUND(30-30*(E64+0.5*calc!$AT$2/60)/(-E64+E65),1)),"")</f>
        <v/>
      </c>
      <c r="J65" s="2" t="str">
        <f aca="false">IF(IF(AND(E65+0.5*calc!$AT$3/60&lt;0,E64+0.5*calc!$AT$2/60&gt;0),TRUE()),INT(D64),"")</f>
        <v/>
      </c>
      <c r="K65" s="2" t="str">
        <f aca="false">IF(IF(AND(E65+0.5*calc!$AT$3/60&lt;0,E64+0.5*calc!$AT$2/60&gt;0),TRUE()),IF(D64=INT(D64),ROUND(30*(E64+0.5*calc!$AT$2/60)/(E64-E65),1),ROUND(30+30*(E64+0.5*calc!$AT$2/60)/(E64-E65),1)),"")</f>
        <v/>
      </c>
      <c r="L65" s="4" t="str">
        <f aca="false">IF(H65&lt;&gt;"",H65&amp;":"&amp;IF(I65&gt;=10,I65,"0"&amp;I65),"")</f>
        <v/>
      </c>
      <c r="M65" s="4" t="str">
        <f aca="false">IF(J65&lt;&gt;"",J65&amp;":"&amp;IF(K65&gt;=10,K65,"0"&amp;K65),"")</f>
        <v/>
      </c>
      <c r="N65" s="62" t="str">
        <f aca="false">IF(AND(E64&lt;E65,E66&lt;E65),D65+0.25*(E66-E64)/(2*E65-E64-E66),"")</f>
        <v/>
      </c>
      <c r="O65" s="6" t="str">
        <f aca="false">IF(N65&lt;&gt;"",INT(N65)&amp;":"&amp;IF(ROUND(60*MOD(D65+0.25*(E66-E64)/(2*E65-E64-E66),1),1)&gt;=10,ROUND(60*MOD(D65+0.25*(E66-E64)/(2*E65-E64-E66),1),1),"0"&amp;ROUND(60*MOD(D65+0.25*(E66-E64)/(2*E65-E64-E66),1),1)),"")</f>
        <v/>
      </c>
      <c r="P65" s="34" t="str">
        <f aca="false">IF(AND(F64&lt;180,F65&gt;180),D65-0.5*(F65-180)/(F65-F64),"")</f>
        <v/>
      </c>
      <c r="Q65" s="6" t="str">
        <f aca="false">IF(P65&lt;&gt;"",INT(P65)&amp;":"&amp;IF(ROUND(60*MOD(P65,1),1)&gt;=10,ROUND(60*MOD(P65,1),1),"0"&amp;ROUND(60*MOD(P65,1),1)),"")</f>
        <v/>
      </c>
      <c r="R65" s="4" t="n">
        <v>180</v>
      </c>
    </row>
    <row r="66" customFormat="false" ht="15" hidden="false" customHeight="false" outlineLevel="0" collapsed="false">
      <c r="D66" s="34" t="n">
        <v>32</v>
      </c>
      <c r="E66" s="39" t="n">
        <f aca="false">calc!$G$66</f>
        <v>-39.3433610441844</v>
      </c>
      <c r="F66" s="26" t="n">
        <f aca="false">calc!$I$66</f>
        <v>30.0626841104788</v>
      </c>
      <c r="H66" s="2" t="str">
        <f aca="false">IF(IF(AND(E66+0.5*calc!$AT$3/60&gt;0,E65+0.5*calc!$AT$2/60&lt;0),TRUE()),INT(D65),"")</f>
        <v/>
      </c>
      <c r="I66" s="59" t="str">
        <f aca="false">IF(IF(AND(E66+0.5*calc!$AT$3/60&gt;0,E65+0.5*calc!$AT$2/60&lt;0),TRUE()),IF(D65=INT(D65),ROUND(-30*(E65+0.5*calc!$AT$2/60)/(-E65+E66),1),ROUND(30-30*(E65+0.5*calc!$AT$2/60)/(-E65+E66),1)),"")</f>
        <v/>
      </c>
      <c r="J66" s="2" t="str">
        <f aca="false">IF(IF(AND(E66+0.5*calc!$AT$3/60&lt;0,E65+0.5*calc!$AT$2/60&gt;0),TRUE()),INT(D65),"")</f>
        <v/>
      </c>
      <c r="K66" s="2" t="str">
        <f aca="false">IF(IF(AND(E66+0.5*calc!$AT$3/60&lt;0,E65+0.5*calc!$AT$2/60&gt;0),TRUE()),IF(D65=INT(D65),ROUND(30*(E65+0.5*calc!$AT$2/60)/(E65-E66),1),ROUND(30+30*(E65+0.5*calc!$AT$2/60)/(E65-E66),1)),"")</f>
        <v/>
      </c>
      <c r="L66" s="4" t="str">
        <f aca="false">IF(H66&lt;&gt;"",H66&amp;":"&amp;IF(I66&gt;=10,I66,"0"&amp;I66),"")</f>
        <v/>
      </c>
      <c r="M66" s="4" t="str">
        <f aca="false">IF(J66&lt;&gt;"",J66&amp;":"&amp;IF(K66&gt;=10,K66,"0"&amp;K66),"")</f>
        <v/>
      </c>
      <c r="N66" s="62" t="str">
        <f aca="false">IF(AND(E65&lt;E66,E67&lt;E66),D66+0.25*(E67-E65)/(2*E66-E65-E67),"")</f>
        <v/>
      </c>
      <c r="O66" s="6" t="str">
        <f aca="false">IF(N66&lt;&gt;"",INT(N66)&amp;":"&amp;IF(ROUND(60*MOD(D66+0.25*(E67-E65)/(2*E66-E65-E67),1),1)&gt;=10,ROUND(60*MOD(D66+0.25*(E67-E65)/(2*E66-E65-E67),1),1),"0"&amp;ROUND(60*MOD(D66+0.25*(E67-E65)/(2*E66-E65-E67),1),1)),"")</f>
        <v/>
      </c>
      <c r="P66" s="34" t="str">
        <f aca="false">IF(AND(F65&lt;180,F66&gt;180),D66-0.5*(F66-180)/(F66-F65),"")</f>
        <v/>
      </c>
      <c r="Q66" s="6" t="str">
        <f aca="false">IF(P66&lt;&gt;"",INT(P66)&amp;":"&amp;IF(ROUND(60*MOD(P66,1),1)&gt;=10,ROUND(60*MOD(P66,1),1),"0"&amp;ROUND(60*MOD(P66,1),1)),"")</f>
        <v/>
      </c>
      <c r="R66" s="4" t="n">
        <v>180</v>
      </c>
    </row>
    <row r="67" customFormat="false" ht="15" hidden="false" customHeight="false" outlineLevel="0" collapsed="false">
      <c r="D67" s="34" t="n">
        <v>32.5</v>
      </c>
      <c r="E67" s="39" t="n">
        <f aca="false">calc!$G$67</f>
        <v>-36.6192236866175</v>
      </c>
      <c r="F67" s="26" t="n">
        <f aca="false">calc!$I$67</f>
        <v>38.511414199986</v>
      </c>
      <c r="H67" s="2" t="str">
        <f aca="false">IF(IF(AND(E67+0.5*calc!$AT$3/60&gt;0,E66+0.5*calc!$AT$2/60&lt;0),TRUE()),INT(D66),"")</f>
        <v/>
      </c>
      <c r="I67" s="59" t="str">
        <f aca="false">IF(IF(AND(E67+0.5*calc!$AT$3/60&gt;0,E66+0.5*calc!$AT$2/60&lt;0),TRUE()),IF(D66=INT(D66),ROUND(-30*(E66+0.5*calc!$AT$2/60)/(-E66+E67),1),ROUND(30-30*(E66+0.5*calc!$AT$2/60)/(-E66+E67),1)),"")</f>
        <v/>
      </c>
      <c r="J67" s="2" t="str">
        <f aca="false">IF(IF(AND(E67+0.5*calc!$AT$3/60&lt;0,E66+0.5*calc!$AT$2/60&gt;0),TRUE()),INT(D66),"")</f>
        <v/>
      </c>
      <c r="K67" s="2" t="str">
        <f aca="false">IF(IF(AND(E67+0.5*calc!$AT$3/60&lt;0,E66+0.5*calc!$AT$2/60&gt;0),TRUE()),IF(D66=INT(D66),ROUND(30*(E66+0.5*calc!$AT$2/60)/(E66-E67),1),ROUND(30+30*(E66+0.5*calc!$AT$2/60)/(E66-E67),1)),"")</f>
        <v/>
      </c>
      <c r="L67" s="4" t="str">
        <f aca="false">IF(H67&lt;&gt;"",H67&amp;":"&amp;IF(I67&gt;=10,I67,"0"&amp;I67),"")</f>
        <v/>
      </c>
      <c r="M67" s="4" t="str">
        <f aca="false">IF(J67&lt;&gt;"",J67&amp;":"&amp;IF(K67&gt;=10,K67,"0"&amp;K67),"")</f>
        <v/>
      </c>
      <c r="N67" s="62" t="str">
        <f aca="false">IF(AND(E66&lt;E67,E68&lt;E67),D67+0.25*(E68-E66)/(2*E67-E66-E68),"")</f>
        <v/>
      </c>
      <c r="O67" s="6" t="str">
        <f aca="false">IF(N67&lt;&gt;"",INT(N67)&amp;":"&amp;IF(ROUND(60*MOD(D67+0.25*(E68-E66)/(2*E67-E66-E68),1),1)&gt;=10,ROUND(60*MOD(D67+0.25*(E68-E66)/(2*E67-E66-E68),1),1),"0"&amp;ROUND(60*MOD(D67+0.25*(E68-E66)/(2*E67-E66-E68),1),1)),"")</f>
        <v/>
      </c>
      <c r="P67" s="34" t="str">
        <f aca="false">IF(AND(F66&lt;180,F67&gt;180),D67-0.5*(F67-180)/(F67-F66),"")</f>
        <v/>
      </c>
      <c r="Q67" s="6" t="str">
        <f aca="false">IF(P67&lt;&gt;"",INT(P67)&amp;":"&amp;IF(ROUND(60*MOD(P67,1),1)&gt;=10,ROUND(60*MOD(P67,1),1),"0"&amp;ROUND(60*MOD(P67,1),1)),"")</f>
        <v/>
      </c>
      <c r="R67" s="4" t="n">
        <v>180</v>
      </c>
    </row>
    <row r="68" customFormat="false" ht="15" hidden="false" customHeight="false" outlineLevel="0" collapsed="false">
      <c r="D68" s="34" t="n">
        <v>33</v>
      </c>
      <c r="E68" s="39" t="n">
        <f aca="false">calc!$G$68</f>
        <v>-33.3821247835483</v>
      </c>
      <c r="F68" s="26" t="n">
        <f aca="false">calc!$I$68</f>
        <v>46.3630022818484</v>
      </c>
      <c r="H68" s="2" t="str">
        <f aca="false">IF(IF(AND(E68+0.5*calc!$AT$3/60&gt;0,E67+0.5*calc!$AT$2/60&lt;0),TRUE()),INT(D67),"")</f>
        <v/>
      </c>
      <c r="I68" s="59" t="str">
        <f aca="false">IF(IF(AND(E68+0.5*calc!$AT$3/60&gt;0,E67+0.5*calc!$AT$2/60&lt;0),TRUE()),IF(D67=INT(D67),ROUND(-30*(E67+0.5*calc!$AT$2/60)/(-E67+E68),1),ROUND(30-30*(E67+0.5*calc!$AT$2/60)/(-E67+E68),1)),"")</f>
        <v/>
      </c>
      <c r="J68" s="2" t="str">
        <f aca="false">IF(IF(AND(E68+0.5*calc!$AT$3/60&lt;0,E67+0.5*calc!$AT$2/60&gt;0),TRUE()),INT(D67),"")</f>
        <v/>
      </c>
      <c r="K68" s="2" t="str">
        <f aca="false">IF(IF(AND(E68+0.5*calc!$AT$3/60&lt;0,E67+0.5*calc!$AT$2/60&gt;0),TRUE()),IF(D67=INT(D67),ROUND(30*(E67+0.5*calc!$AT$2/60)/(E67-E68),1),ROUND(30+30*(E67+0.5*calc!$AT$2/60)/(E67-E68),1)),"")</f>
        <v/>
      </c>
      <c r="L68" s="4" t="str">
        <f aca="false">IF(H68&lt;&gt;"",H68&amp;":"&amp;IF(I68&gt;=10,I68,"0"&amp;I68),"")</f>
        <v/>
      </c>
      <c r="M68" s="4" t="str">
        <f aca="false">IF(J68&lt;&gt;"",J68&amp;":"&amp;IF(K68&gt;=10,K68,"0"&amp;K68),"")</f>
        <v/>
      </c>
      <c r="N68" s="62" t="str">
        <f aca="false">IF(AND(E67&lt;E68,E69&lt;E68),D68+0.25*(E69-E67)/(2*E68-E67-E69),"")</f>
        <v/>
      </c>
      <c r="O68" s="6" t="str">
        <f aca="false">IF(N68&lt;&gt;"",INT(N68)&amp;":"&amp;IF(ROUND(60*MOD(D68+0.25*(E69-E67)/(2*E68-E67-E69),1),1)&gt;=10,ROUND(60*MOD(D68+0.25*(E69-E67)/(2*E68-E67-E69),1),1),"0"&amp;ROUND(60*MOD(D68+0.25*(E69-E67)/(2*E68-E67-E69),1),1)),"")</f>
        <v/>
      </c>
      <c r="P68" s="34" t="str">
        <f aca="false">IF(AND(F67&lt;180,F68&gt;180),D68-0.5*(F68-180)/(F68-F67),"")</f>
        <v/>
      </c>
      <c r="Q68" s="6" t="str">
        <f aca="false">IF(P68&lt;&gt;"",INT(P68)&amp;":"&amp;IF(ROUND(60*MOD(P68,1),1)&gt;=10,ROUND(60*MOD(P68,1),1),"0"&amp;ROUND(60*MOD(P68,1),1)),"")</f>
        <v/>
      </c>
      <c r="R68" s="4" t="n">
        <v>180</v>
      </c>
    </row>
    <row r="69" customFormat="false" ht="15" hidden="false" customHeight="false" outlineLevel="0" collapsed="false">
      <c r="D69" s="34" t="n">
        <v>33.5</v>
      </c>
      <c r="E69" s="39" t="n">
        <f aca="false">calc!$G$69</f>
        <v>-29.7242363478259</v>
      </c>
      <c r="F69" s="26" t="n">
        <f aca="false">calc!$I$69</f>
        <v>53.6491579465884</v>
      </c>
      <c r="H69" s="2" t="str">
        <f aca="false">IF(IF(AND(E69+0.5*calc!$AT$3/60&gt;0,E68+0.5*calc!$AT$2/60&lt;0),TRUE()),INT(D68),"")</f>
        <v/>
      </c>
      <c r="I69" s="59" t="str">
        <f aca="false">IF(IF(AND(E69+0.5*calc!$AT$3/60&gt;0,E68+0.5*calc!$AT$2/60&lt;0),TRUE()),IF(D68=INT(D68),ROUND(-30*(E68+0.5*calc!$AT$2/60)/(-E68+E69),1),ROUND(30-30*(E68+0.5*calc!$AT$2/60)/(-E68+E69),1)),"")</f>
        <v/>
      </c>
      <c r="J69" s="2" t="str">
        <f aca="false">IF(IF(AND(E69+0.5*calc!$AT$3/60&lt;0,E68+0.5*calc!$AT$2/60&gt;0),TRUE()),INT(D68),"")</f>
        <v/>
      </c>
      <c r="K69" s="2" t="str">
        <f aca="false">IF(IF(AND(E69+0.5*calc!$AT$3/60&lt;0,E68+0.5*calc!$AT$2/60&gt;0),TRUE()),IF(D68=INT(D68),ROUND(30*(E68+0.5*calc!$AT$2/60)/(E68-E69),1),ROUND(30+30*(E68+0.5*calc!$AT$2/60)/(E68-E69),1)),"")</f>
        <v/>
      </c>
      <c r="L69" s="4" t="str">
        <f aca="false">IF(H69&lt;&gt;"",H69&amp;":"&amp;IF(I69&gt;=10,I69,"0"&amp;I69),"")</f>
        <v/>
      </c>
      <c r="M69" s="4" t="str">
        <f aca="false">IF(J69&lt;&gt;"",J69&amp;":"&amp;IF(K69&gt;=10,K69,"0"&amp;K69),"")</f>
        <v/>
      </c>
      <c r="N69" s="62" t="str">
        <f aca="false">IF(AND(E68&lt;E69,E70&lt;E69),D69+0.25*(E70-E68)/(2*E69-E68-E70),"")</f>
        <v/>
      </c>
      <c r="O69" s="6" t="str">
        <f aca="false">IF(N69&lt;&gt;"",INT(N69)&amp;":"&amp;IF(ROUND(60*MOD(D69+0.25*(E70-E68)/(2*E69-E68-E70),1),1)&gt;=10,ROUND(60*MOD(D69+0.25*(E70-E68)/(2*E69-E68-E70),1),1),"0"&amp;ROUND(60*MOD(D69+0.25*(E70-E68)/(2*E69-E68-E70),1),1)),"")</f>
        <v/>
      </c>
      <c r="P69" s="34" t="str">
        <f aca="false">IF(AND(F68&lt;180,F69&gt;180),D69-0.5*(F69-180)/(F69-F68),"")</f>
        <v/>
      </c>
      <c r="Q69" s="6" t="str">
        <f aca="false">IF(P69&lt;&gt;"",INT(P69)&amp;":"&amp;IF(ROUND(60*MOD(P69,1),1)&gt;=10,ROUND(60*MOD(P69,1),1),"0"&amp;ROUND(60*MOD(P69,1),1)),"")</f>
        <v/>
      </c>
      <c r="R69" s="4" t="n">
        <v>180</v>
      </c>
    </row>
    <row r="70" customFormat="false" ht="15" hidden="false" customHeight="false" outlineLevel="0" collapsed="false">
      <c r="D70" s="34" t="n">
        <v>34</v>
      </c>
      <c r="E70" s="39" t="n">
        <f aca="false">calc!$G$70</f>
        <v>-25.7296234280471</v>
      </c>
      <c r="F70" s="26" t="n">
        <f aca="false">calc!$I$70</f>
        <v>60.4340398155096</v>
      </c>
      <c r="H70" s="2" t="str">
        <f aca="false">IF(IF(AND(E70+0.5*calc!$AT$3/60&gt;0,E69+0.5*calc!$AT$2/60&lt;0),TRUE()),INT(D69),"")</f>
        <v/>
      </c>
      <c r="I70" s="59" t="str">
        <f aca="false">IF(IF(AND(E70+0.5*calc!$AT$3/60&gt;0,E69+0.5*calc!$AT$2/60&lt;0),TRUE()),IF(D69=INT(D69),ROUND(-30*(E69+0.5*calc!$AT$2/60)/(-E69+E70),1),ROUND(30-30*(E69+0.5*calc!$AT$2/60)/(-E69+E70),1)),"")</f>
        <v/>
      </c>
      <c r="J70" s="2" t="str">
        <f aca="false">IF(IF(AND(E70+0.5*calc!$AT$3/60&lt;0,E69+0.5*calc!$AT$2/60&gt;0),TRUE()),INT(D69),"")</f>
        <v/>
      </c>
      <c r="K70" s="2" t="str">
        <f aca="false">IF(IF(AND(E70+0.5*calc!$AT$3/60&lt;0,E69+0.5*calc!$AT$2/60&gt;0),TRUE()),IF(D69=INT(D69),ROUND(30*(E69+0.5*calc!$AT$2/60)/(E69-E70),1),ROUND(30+30*(E69+0.5*calc!$AT$2/60)/(E69-E70),1)),"")</f>
        <v/>
      </c>
      <c r="L70" s="4" t="str">
        <f aca="false">IF(H70&lt;&gt;"",H70&amp;":"&amp;IF(I70&gt;=10,I70,"0"&amp;I70),"")</f>
        <v/>
      </c>
      <c r="M70" s="4" t="str">
        <f aca="false">IF(J70&lt;&gt;"",J70&amp;":"&amp;IF(K70&gt;=10,K70,"0"&amp;K70),"")</f>
        <v/>
      </c>
      <c r="N70" s="62" t="str">
        <f aca="false">IF(AND(E69&lt;E70,E71&lt;E70),D70+0.25*(E71-E69)/(2*E70-E69-E71),"")</f>
        <v/>
      </c>
      <c r="O70" s="6" t="str">
        <f aca="false">IF(N70&lt;&gt;"",INT(N70)&amp;":"&amp;IF(ROUND(60*MOD(D70+0.25*(E71-E69)/(2*E70-E69-E71),1),1)&gt;=10,ROUND(60*MOD(D70+0.25*(E71-E69)/(2*E70-E69-E71),1),1),"0"&amp;ROUND(60*MOD(D70+0.25*(E71-E69)/(2*E70-E69-E71),1),1)),"")</f>
        <v/>
      </c>
      <c r="P70" s="34" t="str">
        <f aca="false">IF(AND(F69&lt;180,F70&gt;180),D70-0.5*(F70-180)/(F70-F69),"")</f>
        <v/>
      </c>
      <c r="Q70" s="6" t="str">
        <f aca="false">IF(P70&lt;&gt;"",INT(P70)&amp;":"&amp;IF(ROUND(60*MOD(P70,1),1)&gt;=10,ROUND(60*MOD(P70,1),1),"0"&amp;ROUND(60*MOD(P70,1),1)),"")</f>
        <v/>
      </c>
      <c r="R70" s="4" t="n">
        <v>180</v>
      </c>
    </row>
    <row r="71" customFormat="false" ht="15" hidden="false" customHeight="false" outlineLevel="0" collapsed="false">
      <c r="D71" s="34" t="n">
        <v>34.5</v>
      </c>
      <c r="E71" s="39" t="n">
        <f aca="false">calc!$G$71</f>
        <v>-21.4724715802316</v>
      </c>
      <c r="F71" s="26" t="n">
        <f aca="false">calc!$I$71</f>
        <v>66.7975904624967</v>
      </c>
      <c r="H71" s="2" t="str">
        <f aca="false">IF(IF(AND(E71+0.5*calc!$AT$3/60&gt;0,E70+0.5*calc!$AT$2/60&lt;0),TRUE()),INT(D70),"")</f>
        <v/>
      </c>
      <c r="I71" s="59" t="str">
        <f aca="false">IF(IF(AND(E71+0.5*calc!$AT$3/60&gt;0,E70+0.5*calc!$AT$2/60&lt;0),TRUE()),IF(D70=INT(D70),ROUND(-30*(E70+0.5*calc!$AT$2/60)/(-E70+E71),1),ROUND(30-30*(E70+0.5*calc!$AT$2/60)/(-E70+E71),1)),"")</f>
        <v/>
      </c>
      <c r="J71" s="2" t="str">
        <f aca="false">IF(IF(AND(E71+0.5*calc!$AT$3/60&lt;0,E70+0.5*calc!$AT$2/60&gt;0),TRUE()),INT(D70),"")</f>
        <v/>
      </c>
      <c r="K71" s="2" t="str">
        <f aca="false">IF(IF(AND(E71+0.5*calc!$AT$3/60&lt;0,E70+0.5*calc!$AT$2/60&gt;0),TRUE()),IF(D70=INT(D70),ROUND(30*(E70+0.5*calc!$AT$2/60)/(E70-E71),1),ROUND(30+30*(E70+0.5*calc!$AT$2/60)/(E70-E71),1)),"")</f>
        <v/>
      </c>
      <c r="L71" s="4" t="str">
        <f aca="false">IF(H71&lt;&gt;"",H71&amp;":"&amp;IF(I71&gt;=10,I71,"0"&amp;I71),"")</f>
        <v/>
      </c>
      <c r="M71" s="4" t="str">
        <f aca="false">IF(J71&lt;&gt;"",J71&amp;":"&amp;IF(K71&gt;=10,K71,"0"&amp;K71),"")</f>
        <v/>
      </c>
      <c r="N71" s="62" t="str">
        <f aca="false">IF(AND(E70&lt;E71,E72&lt;E71),D71+0.25*(E72-E70)/(2*E71-E70-E72),"")</f>
        <v/>
      </c>
      <c r="O71" s="6" t="str">
        <f aca="false">IF(N71&lt;&gt;"",INT(N71)&amp;":"&amp;IF(ROUND(60*MOD(D71+0.25*(E72-E70)/(2*E71-E70-E72),1),1)&gt;=10,ROUND(60*MOD(D71+0.25*(E72-E70)/(2*E71-E70-E72),1),1),"0"&amp;ROUND(60*MOD(D71+0.25*(E72-E70)/(2*E71-E70-E72),1),1)),"")</f>
        <v/>
      </c>
      <c r="P71" s="34" t="str">
        <f aca="false">IF(AND(F70&lt;180,F71&gt;180),D71-0.5*(F71-180)/(F71-F70),"")</f>
        <v/>
      </c>
      <c r="Q71" s="6" t="str">
        <f aca="false">IF(P71&lt;&gt;"",INT(P71)&amp;":"&amp;IF(ROUND(60*MOD(P71,1),1)&gt;=10,ROUND(60*MOD(P71,1),1),"0"&amp;ROUND(60*MOD(P71,1),1)),"")</f>
        <v/>
      </c>
      <c r="R71" s="4" t="n">
        <v>180</v>
      </c>
    </row>
    <row r="72" customFormat="false" ht="15" hidden="false" customHeight="false" outlineLevel="0" collapsed="false">
      <c r="D72" s="34" t="n">
        <v>35</v>
      </c>
      <c r="E72" s="39" t="n">
        <f aca="false">calc!$G$72</f>
        <v>-17.0177580750802</v>
      </c>
      <c r="F72" s="26" t="n">
        <f aca="false">calc!$I$72</f>
        <v>72.8247915738335</v>
      </c>
      <c r="H72" s="2" t="str">
        <f aca="false">IF(IF(AND(E72+0.5*calc!$AT$3/60&gt;0,E71+0.5*calc!$AT$2/60&lt;0),TRUE()),INT(D71),"")</f>
        <v/>
      </c>
      <c r="I72" s="59" t="str">
        <f aca="false">IF(IF(AND(E72+0.5*calc!$AT$3/60&gt;0,E71+0.5*calc!$AT$2/60&lt;0),TRUE()),IF(D71=INT(D71),ROUND(-30*(E71+0.5*calc!$AT$2/60)/(-E71+E72),1),ROUND(30-30*(E71+0.5*calc!$AT$2/60)/(-E71+E72),1)),"")</f>
        <v/>
      </c>
      <c r="J72" s="2" t="str">
        <f aca="false">IF(IF(AND(E72+0.5*calc!$AT$3/60&lt;0,E71+0.5*calc!$AT$2/60&gt;0),TRUE()),INT(D71),"")</f>
        <v/>
      </c>
      <c r="K72" s="2" t="str">
        <f aca="false">IF(IF(AND(E72+0.5*calc!$AT$3/60&lt;0,E71+0.5*calc!$AT$2/60&gt;0),TRUE()),IF(D71=INT(D71),ROUND(30*(E71+0.5*calc!$AT$2/60)/(E71-E72),1),ROUND(30+30*(E71+0.5*calc!$AT$2/60)/(E71-E72),1)),"")</f>
        <v/>
      </c>
      <c r="L72" s="4" t="str">
        <f aca="false">IF(H72&lt;&gt;"",H72&amp;":"&amp;IF(I72&gt;=10,I72,"0"&amp;I72),"")</f>
        <v/>
      </c>
      <c r="M72" s="4" t="str">
        <f aca="false">IF(J72&lt;&gt;"",J72&amp;":"&amp;IF(K72&gt;=10,K72,"0"&amp;K72),"")</f>
        <v/>
      </c>
      <c r="N72" s="62" t="str">
        <f aca="false">IF(AND(E71&lt;E72,E73&lt;E72),D72+0.25*(E73-E71)/(2*E72-E71-E73),"")</f>
        <v/>
      </c>
      <c r="O72" s="6" t="str">
        <f aca="false">IF(N72&lt;&gt;"",INT(N72)&amp;":"&amp;IF(ROUND(60*MOD(D72+0.25*(E73-E71)/(2*E72-E71-E73),1),1)&gt;=10,ROUND(60*MOD(D72+0.25*(E73-E71)/(2*E72-E71-E73),1),1),"0"&amp;ROUND(60*MOD(D72+0.25*(E73-E71)/(2*E72-E71-E73),1),1)),"")</f>
        <v/>
      </c>
      <c r="P72" s="34" t="str">
        <f aca="false">IF(AND(F71&lt;180,F72&gt;180),D72-0.5*(F72-180)/(F72-F71),"")</f>
        <v/>
      </c>
      <c r="Q72" s="6" t="str">
        <f aca="false">IF(P72&lt;&gt;"",INT(P72)&amp;":"&amp;IF(ROUND(60*MOD(P72,1),1)&gt;=10,ROUND(60*MOD(P72,1),1),"0"&amp;ROUND(60*MOD(P72,1),1)),"")</f>
        <v/>
      </c>
      <c r="R72" s="4" t="n">
        <v>180</v>
      </c>
    </row>
    <row r="73" customFormat="false" ht="15" hidden="false" customHeight="false" outlineLevel="0" collapsed="false">
      <c r="D73" s="34" t="n">
        <v>35.5</v>
      </c>
      <c r="E73" s="39" t="n">
        <f aca="false">calc!$G$73</f>
        <v>-12.4229267226705</v>
      </c>
      <c r="F73" s="26" t="n">
        <f aca="false">calc!$I$73</f>
        <v>78.5999331385386</v>
      </c>
      <c r="H73" s="2" t="str">
        <f aca="false">IF(IF(AND(E73+0.5*calc!$AT$3/60&gt;0,E72+0.5*calc!$AT$2/60&lt;0),TRUE()),INT(D72),"")</f>
        <v/>
      </c>
      <c r="I73" s="59" t="str">
        <f aca="false">IF(IF(AND(E73+0.5*calc!$AT$3/60&gt;0,E72+0.5*calc!$AT$2/60&lt;0),TRUE()),IF(D72=INT(D72),ROUND(-30*(E72+0.5*calc!$AT$2/60)/(-E72+E73),1),ROUND(30-30*(E72+0.5*calc!$AT$2/60)/(-E72+E73),1)),"")</f>
        <v/>
      </c>
      <c r="J73" s="2" t="str">
        <f aca="false">IF(IF(AND(E73+0.5*calc!$AT$3/60&lt;0,E72+0.5*calc!$AT$2/60&gt;0),TRUE()),INT(D72),"")</f>
        <v/>
      </c>
      <c r="K73" s="2" t="str">
        <f aca="false">IF(IF(AND(E73+0.5*calc!$AT$3/60&lt;0,E72+0.5*calc!$AT$2/60&gt;0),TRUE()),IF(D72=INT(D72),ROUND(30*(E72+0.5*calc!$AT$2/60)/(E72-E73),1),ROUND(30+30*(E72+0.5*calc!$AT$2/60)/(E72-E73),1)),"")</f>
        <v/>
      </c>
      <c r="L73" s="4" t="str">
        <f aca="false">IF(H73&lt;&gt;"",H73&amp;":"&amp;IF(I73&gt;=10,I73,"0"&amp;I73),"")</f>
        <v/>
      </c>
      <c r="M73" s="4" t="str">
        <f aca="false">IF(J73&lt;&gt;"",J73&amp;":"&amp;IF(K73&gt;=10,K73,"0"&amp;K73),"")</f>
        <v/>
      </c>
      <c r="N73" s="62" t="str">
        <f aca="false">IF(AND(E72&lt;E73,E74&lt;E73),D73+0.25*(E74-E72)/(2*E73-E72-E74),"")</f>
        <v/>
      </c>
      <c r="O73" s="6" t="str">
        <f aca="false">IF(N73&lt;&gt;"",INT(N73)&amp;":"&amp;IF(ROUND(60*MOD(D73+0.25*(E74-E72)/(2*E73-E72-E74),1),1)&gt;=10,ROUND(60*MOD(D73+0.25*(E74-E72)/(2*E73-E72-E74),1),1),"0"&amp;ROUND(60*MOD(D73+0.25*(E74-E72)/(2*E73-E72-E74),1),1)),"")</f>
        <v/>
      </c>
      <c r="P73" s="34" t="str">
        <f aca="false">IF(AND(F72&lt;180,F73&gt;180),D73-0.5*(F73-180)/(F73-F72),"")</f>
        <v/>
      </c>
      <c r="Q73" s="6" t="str">
        <f aca="false">IF(P73&lt;&gt;"",INT(P73)&amp;":"&amp;IF(ROUND(60*MOD(P73,1),1)&gt;=10,ROUND(60*MOD(P73,1),1),"0"&amp;ROUND(60*MOD(P73,1),1)),"")</f>
        <v/>
      </c>
      <c r="R73" s="4" t="n">
        <v>180</v>
      </c>
    </row>
    <row r="74" customFormat="false" ht="15" hidden="false" customHeight="false" outlineLevel="0" collapsed="false">
      <c r="D74" s="34" t="n">
        <v>36</v>
      </c>
      <c r="E74" s="39" t="n">
        <f aca="false">calc!$G$74</f>
        <v>-7.72765637601777</v>
      </c>
      <c r="F74" s="26" t="n">
        <f aca="false">calc!$I$74</f>
        <v>84.2043272059264</v>
      </c>
      <c r="H74" s="2" t="str">
        <f aca="false">IF(IF(AND(E74+0.5*calc!$AT$3/60&gt;0,E73+0.5*calc!$AT$2/60&lt;0),TRUE()),INT(D73),"")</f>
        <v/>
      </c>
      <c r="I74" s="59" t="str">
        <f aca="false">IF(IF(AND(E74+0.5*calc!$AT$3/60&gt;0,E73+0.5*calc!$AT$2/60&lt;0),TRUE()),IF(D73=INT(D73),ROUND(-30*(E73+0.5*calc!$AT$2/60)/(-E73+E74),1),ROUND(30-30*(E73+0.5*calc!$AT$2/60)/(-E73+E74),1)),"")</f>
        <v/>
      </c>
      <c r="J74" s="2" t="str">
        <f aca="false">IF(IF(AND(E74+0.5*calc!$AT$3/60&lt;0,E73+0.5*calc!$AT$2/60&gt;0),TRUE()),INT(D73),"")</f>
        <v/>
      </c>
      <c r="K74" s="2" t="str">
        <f aca="false">IF(IF(AND(E74+0.5*calc!$AT$3/60&lt;0,E73+0.5*calc!$AT$2/60&gt;0),TRUE()),IF(D73=INT(D73),ROUND(30*(E73+0.5*calc!$AT$2/60)/(E73-E74),1),ROUND(30+30*(E73+0.5*calc!$AT$2/60)/(E73-E74),1)),"")</f>
        <v/>
      </c>
      <c r="L74" s="4" t="str">
        <f aca="false">IF(H74&lt;&gt;"",H74&amp;":"&amp;IF(I74&gt;=10,I74,"0"&amp;I74),"")</f>
        <v/>
      </c>
      <c r="M74" s="4" t="str">
        <f aca="false">IF(J74&lt;&gt;"",J74&amp;":"&amp;IF(K74&gt;=10,K74,"0"&amp;K74),"")</f>
        <v/>
      </c>
      <c r="N74" s="62" t="str">
        <f aca="false">IF(AND(E73&lt;E74,E75&lt;E74),D74+0.25*(E75-E73)/(2*E74-E73-E75),"")</f>
        <v/>
      </c>
      <c r="O74" s="6" t="str">
        <f aca="false">IF(N74&lt;&gt;"",INT(N74)&amp;":"&amp;IF(ROUND(60*MOD(D74+0.25*(E75-E73)/(2*E74-E73-E75),1),1)&gt;=10,ROUND(60*MOD(D74+0.25*(E75-E73)/(2*E74-E73-E75),1),1),"0"&amp;ROUND(60*MOD(D74+0.25*(E75-E73)/(2*E74-E73-E75),1),1)),"")</f>
        <v/>
      </c>
      <c r="P74" s="34" t="str">
        <f aca="false">IF(AND(F73&lt;180,F74&gt;180),D74-0.5*(F74-180)/(F74-F73),"")</f>
        <v/>
      </c>
      <c r="Q74" s="6" t="str">
        <f aca="false">IF(P74&lt;&gt;"",INT(P74)&amp;":"&amp;IF(ROUND(60*MOD(P74,1),1)&gt;=10,ROUND(60*MOD(P74,1),1),"0"&amp;ROUND(60*MOD(P74,1),1)),"")</f>
        <v/>
      </c>
      <c r="R74" s="4" t="n">
        <v>180</v>
      </c>
    </row>
    <row r="75" customFormat="false" ht="15" hidden="false" customHeight="false" outlineLevel="0" collapsed="false">
      <c r="D75" s="34" t="n">
        <v>36.5</v>
      </c>
      <c r="E75" s="39" t="n">
        <f aca="false">calc!$G$75</f>
        <v>-2.32801213036966</v>
      </c>
      <c r="F75" s="26" t="n">
        <f aca="false">calc!$I$75</f>
        <v>89.7160943141695</v>
      </c>
      <c r="H75" s="2" t="str">
        <f aca="false">IF(IF(AND(E75+0.5*calc!$AT$3/60&gt;0,E74+0.5*calc!$AT$2/60&lt;0),TRUE()),INT(D74),"")</f>
        <v/>
      </c>
      <c r="I75" s="59" t="str">
        <f aca="false">IF(IF(AND(E75+0.5*calc!$AT$3/60&gt;0,E74+0.5*calc!$AT$2/60&lt;0),TRUE()),IF(D74=INT(D74),ROUND(-30*(E74+0.5*calc!$AT$2/60)/(-E74+E75),1),ROUND(30-30*(E74+0.5*calc!$AT$2/60)/(-E74+E75),1)),"")</f>
        <v/>
      </c>
      <c r="J75" s="2" t="str">
        <f aca="false">IF(IF(AND(E75+0.5*calc!$AT$3/60&lt;0,E74+0.5*calc!$AT$2/60&gt;0),TRUE()),INT(D74),"")</f>
        <v/>
      </c>
      <c r="K75" s="2" t="str">
        <f aca="false">IF(IF(AND(E75+0.5*calc!$AT$3/60&lt;0,E74+0.5*calc!$AT$2/60&gt;0),TRUE()),IF(D74=INT(D74),ROUND(30*(E74+0.5*calc!$AT$2/60)/(E74-E75),1),ROUND(30+30*(E74+0.5*calc!$AT$2/60)/(E74-E75),1)),"")</f>
        <v/>
      </c>
      <c r="L75" s="4" t="str">
        <f aca="false">IF(H75&lt;&gt;"",H75&amp;":"&amp;IF(I75&gt;=10,I75,"0"&amp;I75),"")</f>
        <v/>
      </c>
      <c r="M75" s="4" t="str">
        <f aca="false">IF(J75&lt;&gt;"",J75&amp;":"&amp;IF(K75&gt;=10,K75,"0"&amp;K75),"")</f>
        <v/>
      </c>
      <c r="N75" s="62" t="str">
        <f aca="false">IF(AND(E74&lt;E75,E76&lt;E75),D75+0.25*(E76-E74)/(2*E75-E74-E76),"")</f>
        <v/>
      </c>
      <c r="O75" s="6" t="str">
        <f aca="false">IF(N75&lt;&gt;"",INT(N75)&amp;":"&amp;IF(ROUND(60*MOD(D75+0.25*(E76-E74)/(2*E75-E74-E76),1),1)&gt;=10,ROUND(60*MOD(D75+0.25*(E76-E74)/(2*E75-E74-E76),1),1),"0"&amp;ROUND(60*MOD(D75+0.25*(E76-E74)/(2*E75-E74-E76),1),1)),"")</f>
        <v/>
      </c>
      <c r="P75" s="34" t="str">
        <f aca="false">IF(AND(F74&lt;180,F75&gt;180),D75-0.5*(F75-180)/(F75-F74),"")</f>
        <v/>
      </c>
      <c r="Q75" s="6" t="str">
        <f aca="false">IF(P75&lt;&gt;"",INT(P75)&amp;":"&amp;IF(ROUND(60*MOD(P75,1),1)&gt;=10,ROUND(60*MOD(P75,1),1),"0"&amp;ROUND(60*MOD(P75,1),1)),"")</f>
        <v/>
      </c>
      <c r="R75" s="4" t="n">
        <v>180</v>
      </c>
    </row>
    <row r="76" customFormat="false" ht="15" hidden="false" customHeight="false" outlineLevel="0" collapsed="false">
      <c r="D76" s="34" t="n">
        <v>37</v>
      </c>
      <c r="E76" s="39" t="n">
        <f aca="false">calc!$G$76</f>
        <v>2.17255845693138</v>
      </c>
      <c r="F76" s="26" t="n">
        <f aca="false">calc!$I$76</f>
        <v>95.2110532307478</v>
      </c>
      <c r="H76" s="2" t="n">
        <f aca="false">IF(IF(AND(E76+0.5*calc!$AT$3/60&gt;0,E75+0.5*calc!$AT$2/60&lt;0),TRUE()),INT(D75),"")</f>
        <v>36</v>
      </c>
      <c r="I76" s="59" t="n">
        <f aca="false">IF(IF(AND(E76+0.5*calc!$AT$3/60&gt;0,E75+0.5*calc!$AT$2/60&lt;0),TRUE()),IF(D75=INT(D75),ROUND(-30*(E75+0.5*calc!$AT$2/60)/(-E75+E76),1),ROUND(30-30*(E75+0.5*calc!$AT$2/60)/(-E75+E76),1)),"")</f>
        <v>43.8</v>
      </c>
      <c r="J76" s="2" t="str">
        <f aca="false">IF(IF(AND(E76+0.5*calc!$AT$3/60&lt;0,E75+0.5*calc!$AT$2/60&gt;0),TRUE()),INT(D75),"")</f>
        <v/>
      </c>
      <c r="K76" s="2" t="str">
        <f aca="false">IF(IF(AND(E76+0.5*calc!$AT$3/60&lt;0,E75+0.5*calc!$AT$2/60&gt;0),TRUE()),IF(D75=INT(D75),ROUND(30*(E75+0.5*calc!$AT$2/60)/(E75-E76),1),ROUND(30+30*(E75+0.5*calc!$AT$2/60)/(E75-E76),1)),"")</f>
        <v/>
      </c>
      <c r="L76" s="4" t="str">
        <f aca="false">IF(H76&lt;&gt;"",H76&amp;":"&amp;IF(I76&gt;=10,I76,"0"&amp;I76),"")</f>
        <v>36:43,8</v>
      </c>
      <c r="M76" s="4" t="str">
        <f aca="false">IF(J76&lt;&gt;"",J76&amp;":"&amp;IF(K76&gt;=10,K76,"0"&amp;K76),"")</f>
        <v/>
      </c>
      <c r="N76" s="62" t="str">
        <f aca="false">IF(AND(E75&lt;E76,E77&lt;E76),D76+0.25*(E77-E75)/(2*E76-E75-E77),"")</f>
        <v/>
      </c>
      <c r="O76" s="6" t="str">
        <f aca="false">IF(N76&lt;&gt;"",INT(N76)&amp;":"&amp;IF(ROUND(60*MOD(D76+0.25*(E77-E75)/(2*E76-E75-E77),1),1)&gt;=10,ROUND(60*MOD(D76+0.25*(E77-E75)/(2*E76-E75-E77),1),1),"0"&amp;ROUND(60*MOD(D76+0.25*(E77-E75)/(2*E76-E75-E77),1),1)),"")</f>
        <v/>
      </c>
      <c r="P76" s="34" t="str">
        <f aca="false">IF(AND(F75&lt;180,F76&gt;180),D76-0.5*(F76-180)/(F76-F75),"")</f>
        <v/>
      </c>
      <c r="Q76" s="6" t="str">
        <f aca="false">IF(P76&lt;&gt;"",INT(P76)&amp;":"&amp;IF(ROUND(60*MOD(P76,1),1)&gt;=10,ROUND(60*MOD(P76,1),1),"0"&amp;ROUND(60*MOD(P76,1),1)),"")</f>
        <v/>
      </c>
      <c r="R76" s="4" t="n">
        <v>180</v>
      </c>
    </row>
    <row r="77" customFormat="false" ht="15" hidden="false" customHeight="false" outlineLevel="0" collapsed="false">
      <c r="D77" s="34" t="n">
        <v>37.5</v>
      </c>
      <c r="E77" s="39" t="n">
        <f aca="false">calc!$G$77</f>
        <v>6.74658324916574</v>
      </c>
      <c r="F77" s="26" t="n">
        <f aca="false">calc!$I$77</f>
        <v>100.764075828514</v>
      </c>
      <c r="H77" s="2" t="str">
        <f aca="false">IF(IF(AND(E77+0.5*calc!$AT$3/60&gt;0,E76+0.5*calc!$AT$2/60&lt;0),TRUE()),INT(D76),"")</f>
        <v/>
      </c>
      <c r="I77" s="59" t="str">
        <f aca="false">IF(IF(AND(E77+0.5*calc!$AT$3/60&gt;0,E76+0.5*calc!$AT$2/60&lt;0),TRUE()),IF(D76=INT(D76),ROUND(-30*(E76+0.5*calc!$AT$2/60)/(-E76+E77),1),ROUND(30-30*(E76+0.5*calc!$AT$2/60)/(-E76+E77),1)),"")</f>
        <v/>
      </c>
      <c r="J77" s="2" t="str">
        <f aca="false">IF(IF(AND(E77+0.5*calc!$AT$3/60&lt;0,E76+0.5*calc!$AT$2/60&gt;0),TRUE()),INT(D76),"")</f>
        <v/>
      </c>
      <c r="K77" s="2" t="str">
        <f aca="false">IF(IF(AND(E77+0.5*calc!$AT$3/60&lt;0,E76+0.5*calc!$AT$2/60&gt;0),TRUE()),IF(D76=INT(D76),ROUND(30*(E76+0.5*calc!$AT$2/60)/(E76-E77),1),ROUND(30+30*(E76+0.5*calc!$AT$2/60)/(E76-E77),1)),"")</f>
        <v/>
      </c>
      <c r="L77" s="4" t="str">
        <f aca="false">IF(H77&lt;&gt;"",H77&amp;":"&amp;IF(I77&gt;=10,I77,"0"&amp;I77),"")</f>
        <v/>
      </c>
      <c r="M77" s="4" t="str">
        <f aca="false">IF(J77&lt;&gt;"",J77&amp;":"&amp;IF(K77&gt;=10,K77,"0"&amp;K77),"")</f>
        <v/>
      </c>
      <c r="N77" s="62" t="str">
        <f aca="false">IF(AND(E76&lt;E77,E78&lt;E77),D77+0.25*(E78-E76)/(2*E77-E76-E78),"")</f>
        <v/>
      </c>
      <c r="O77" s="6" t="str">
        <f aca="false">IF(N77&lt;&gt;"",INT(N77)&amp;":"&amp;IF(ROUND(60*MOD(D77+0.25*(E78-E76)/(2*E77-E76-E78),1),1)&gt;=10,ROUND(60*MOD(D77+0.25*(E78-E76)/(2*E77-E76-E78),1),1),"0"&amp;ROUND(60*MOD(D77+0.25*(E78-E76)/(2*E77-E76-E78),1),1)),"")</f>
        <v/>
      </c>
      <c r="P77" s="34" t="str">
        <f aca="false">IF(AND(F76&lt;180,F77&gt;180),D77-0.5*(F77-180)/(F77-F76),"")</f>
        <v/>
      </c>
      <c r="Q77" s="6" t="str">
        <f aca="false">IF(P77&lt;&gt;"",INT(P77)&amp;":"&amp;IF(ROUND(60*MOD(P77,1),1)&gt;=10,ROUND(60*MOD(P77,1),1),"0"&amp;ROUND(60*MOD(P77,1),1)),"")</f>
        <v/>
      </c>
      <c r="R77" s="4" t="n">
        <v>180</v>
      </c>
    </row>
    <row r="78" customFormat="false" ht="15" hidden="false" customHeight="false" outlineLevel="0" collapsed="false">
      <c r="D78" s="34" t="n">
        <v>38</v>
      </c>
      <c r="E78" s="39" t="n">
        <f aca="false">calc!$G$78</f>
        <v>11.3544571620025</v>
      </c>
      <c r="F78" s="26" t="n">
        <f aca="false">calc!$I$78</f>
        <v>106.450455076206</v>
      </c>
      <c r="H78" s="2" t="str">
        <f aca="false">IF(IF(AND(E78+0.5*calc!$AT$3/60&gt;0,E77+0.5*calc!$AT$2/60&lt;0),TRUE()),INT(D77),"")</f>
        <v/>
      </c>
      <c r="I78" s="59" t="str">
        <f aca="false">IF(IF(AND(E78+0.5*calc!$AT$3/60&gt;0,E77+0.5*calc!$AT$2/60&lt;0),TRUE()),IF(D77=INT(D77),ROUND(-30*(E77+0.5*calc!$AT$2/60)/(-E77+E78),1),ROUND(30-30*(E77+0.5*calc!$AT$2/60)/(-E77+E78),1)),"")</f>
        <v/>
      </c>
      <c r="J78" s="2" t="str">
        <f aca="false">IF(IF(AND(E78+0.5*calc!$AT$3/60&lt;0,E77+0.5*calc!$AT$2/60&gt;0),TRUE()),INT(D77),"")</f>
        <v/>
      </c>
      <c r="K78" s="2" t="str">
        <f aca="false">IF(IF(AND(E78+0.5*calc!$AT$3/60&lt;0,E77+0.5*calc!$AT$2/60&gt;0),TRUE()),IF(D77=INT(D77),ROUND(30*(E77+0.5*calc!$AT$2/60)/(E77-E78),1),ROUND(30+30*(E77+0.5*calc!$AT$2/60)/(E77-E78),1)),"")</f>
        <v/>
      </c>
      <c r="L78" s="4" t="str">
        <f aca="false">IF(H78&lt;&gt;"",H78&amp;":"&amp;IF(I78&gt;=10,I78,"0"&amp;I78),"")</f>
        <v/>
      </c>
      <c r="M78" s="4" t="str">
        <f aca="false">IF(J78&lt;&gt;"",J78&amp;":"&amp;IF(K78&gt;=10,K78,"0"&amp;K78),"")</f>
        <v/>
      </c>
      <c r="N78" s="62" t="str">
        <f aca="false">IF(AND(E77&lt;E78,E79&lt;E78),D78+0.25*(E79-E77)/(2*E78-E77-E79),"")</f>
        <v/>
      </c>
      <c r="O78" s="6" t="str">
        <f aca="false">IF(N78&lt;&gt;"",INT(N78)&amp;":"&amp;IF(ROUND(60*MOD(D78+0.25*(E79-E77)/(2*E78-E77-E79),1),1)&gt;=10,ROUND(60*MOD(D78+0.25*(E79-E77)/(2*E78-E77-E79),1),1),"0"&amp;ROUND(60*MOD(D78+0.25*(E79-E77)/(2*E78-E77-E79),1),1)),"")</f>
        <v/>
      </c>
      <c r="P78" s="34" t="str">
        <f aca="false">IF(AND(F77&lt;180,F78&gt;180),D78-0.5*(F78-180)/(F78-F77),"")</f>
        <v/>
      </c>
      <c r="Q78" s="6" t="str">
        <f aca="false">IF(P78&lt;&gt;"",INT(P78)&amp;":"&amp;IF(ROUND(60*MOD(P78,1),1)&gt;=10,ROUND(60*MOD(P78,1),1),"0"&amp;ROUND(60*MOD(P78,1),1)),"")</f>
        <v/>
      </c>
      <c r="R78" s="4" t="n">
        <v>180</v>
      </c>
    </row>
    <row r="79" customFormat="false" ht="15" hidden="false" customHeight="false" outlineLevel="0" collapsed="false">
      <c r="D79" s="34" t="n">
        <v>38.5</v>
      </c>
      <c r="E79" s="39" t="n">
        <f aca="false">calc!$G$79</f>
        <v>15.8617471115784</v>
      </c>
      <c r="F79" s="26" t="n">
        <f aca="false">calc!$I$79</f>
        <v>112.346872910495</v>
      </c>
      <c r="H79" s="2" t="str">
        <f aca="false">IF(IF(AND(E79+0.5*calc!$AT$3/60&gt;0,E78+0.5*calc!$AT$2/60&lt;0),TRUE()),INT(D78),"")</f>
        <v/>
      </c>
      <c r="I79" s="59" t="str">
        <f aca="false">IF(IF(AND(E79+0.5*calc!$AT$3/60&gt;0,E78+0.5*calc!$AT$2/60&lt;0),TRUE()),IF(D78=INT(D78),ROUND(-30*(E78+0.5*calc!$AT$2/60)/(-E78+E79),1),ROUND(30-30*(E78+0.5*calc!$AT$2/60)/(-E78+E79),1)),"")</f>
        <v/>
      </c>
      <c r="J79" s="2" t="str">
        <f aca="false">IF(IF(AND(E79+0.5*calc!$AT$3/60&lt;0,E78+0.5*calc!$AT$2/60&gt;0),TRUE()),INT(D78),"")</f>
        <v/>
      </c>
      <c r="K79" s="2" t="str">
        <f aca="false">IF(IF(AND(E79+0.5*calc!$AT$3/60&lt;0,E78+0.5*calc!$AT$2/60&gt;0),TRUE()),IF(D78=INT(D78),ROUND(30*(E78+0.5*calc!$AT$2/60)/(E78-E79),1),ROUND(30+30*(E78+0.5*calc!$AT$2/60)/(E78-E79),1)),"")</f>
        <v/>
      </c>
      <c r="L79" s="4" t="str">
        <f aca="false">IF(H79&lt;&gt;"",H79&amp;":"&amp;IF(I79&gt;=10,I79,"0"&amp;I79),"")</f>
        <v/>
      </c>
      <c r="M79" s="4" t="str">
        <f aca="false">IF(J79&lt;&gt;"",J79&amp;":"&amp;IF(K79&gt;=10,K79,"0"&amp;K79),"")</f>
        <v/>
      </c>
      <c r="N79" s="62" t="str">
        <f aca="false">IF(AND(E78&lt;E79,E80&lt;E79),D79+0.25*(E80-E78)/(2*E79-E78-E80),"")</f>
        <v/>
      </c>
      <c r="O79" s="6" t="str">
        <f aca="false">IF(N79&lt;&gt;"",INT(N79)&amp;":"&amp;IF(ROUND(60*MOD(D79+0.25*(E80-E78)/(2*E79-E78-E80),1),1)&gt;=10,ROUND(60*MOD(D79+0.25*(E80-E78)/(2*E79-E78-E80),1),1),"0"&amp;ROUND(60*MOD(D79+0.25*(E80-E78)/(2*E79-E78-E80),1),1)),"")</f>
        <v/>
      </c>
      <c r="P79" s="34" t="str">
        <f aca="false">IF(AND(F78&lt;180,F79&gt;180),D79-0.5*(F79-180)/(F79-F78),"")</f>
        <v/>
      </c>
      <c r="Q79" s="6" t="str">
        <f aca="false">IF(P79&lt;&gt;"",INT(P79)&amp;":"&amp;IF(ROUND(60*MOD(P79,1),1)&gt;=10,ROUND(60*MOD(P79,1),1),"0"&amp;ROUND(60*MOD(P79,1),1)),"")</f>
        <v/>
      </c>
      <c r="R79" s="4" t="n">
        <v>180</v>
      </c>
    </row>
    <row r="80" customFormat="false" ht="15" hidden="false" customHeight="false" outlineLevel="0" collapsed="false">
      <c r="D80" s="34" t="n">
        <v>39</v>
      </c>
      <c r="E80" s="39" t="n">
        <f aca="false">calc!$G$80</f>
        <v>20.1980893395864</v>
      </c>
      <c r="F80" s="26" t="n">
        <f aca="false">calc!$I$80</f>
        <v>118.531457104577</v>
      </c>
      <c r="H80" s="2" t="str">
        <f aca="false">IF(IF(AND(E80+0.5*calc!$AT$3/60&gt;0,E79+0.5*calc!$AT$2/60&lt;0),TRUE()),INT(D79),"")</f>
        <v/>
      </c>
      <c r="I80" s="59" t="str">
        <f aca="false">IF(IF(AND(E80+0.5*calc!$AT$3/60&gt;0,E79+0.5*calc!$AT$2/60&lt;0),TRUE()),IF(D79=INT(D79),ROUND(-30*(E79+0.5*calc!$AT$2/60)/(-E79+E80),1),ROUND(30-30*(E79+0.5*calc!$AT$2/60)/(-E79+E80),1)),"")</f>
        <v/>
      </c>
      <c r="J80" s="2" t="str">
        <f aca="false">IF(IF(AND(E80+0.5*calc!$AT$3/60&lt;0,E79+0.5*calc!$AT$2/60&gt;0),TRUE()),INT(D79),"")</f>
        <v/>
      </c>
      <c r="K80" s="2" t="str">
        <f aca="false">IF(IF(AND(E80+0.5*calc!$AT$3/60&lt;0,E79+0.5*calc!$AT$2/60&gt;0),TRUE()),IF(D79=INT(D79),ROUND(30*(E79+0.5*calc!$AT$2/60)/(E79-E80),1),ROUND(30+30*(E79+0.5*calc!$AT$2/60)/(E79-E80),1)),"")</f>
        <v/>
      </c>
      <c r="L80" s="4" t="str">
        <f aca="false">IF(H80&lt;&gt;"",H80&amp;":"&amp;IF(I80&gt;=10,I80,"0"&amp;I80),"")</f>
        <v/>
      </c>
      <c r="M80" s="4" t="str">
        <f aca="false">IF(J80&lt;&gt;"",J80&amp;":"&amp;IF(K80&gt;=10,K80,"0"&amp;K80),"")</f>
        <v/>
      </c>
      <c r="N80" s="62" t="str">
        <f aca="false">IF(AND(E79&lt;E80,E81&lt;E80),D80+0.25*(E81-E79)/(2*E80-E79-E81),"")</f>
        <v/>
      </c>
      <c r="O80" s="6" t="str">
        <f aca="false">IF(N80&lt;&gt;"",INT(N80)&amp;":"&amp;IF(ROUND(60*MOD(D80+0.25*(E81-E79)/(2*E80-E79-E81),1),1)&gt;=10,ROUND(60*MOD(D80+0.25*(E81-E79)/(2*E80-E79-E81),1),1),"0"&amp;ROUND(60*MOD(D80+0.25*(E81-E79)/(2*E80-E79-E81),1),1)),"")</f>
        <v/>
      </c>
      <c r="P80" s="34" t="str">
        <f aca="false">IF(AND(F79&lt;180,F80&gt;180),D80-0.5*(F80-180)/(F80-F79),"")</f>
        <v/>
      </c>
      <c r="Q80" s="6" t="str">
        <f aca="false">IF(P80&lt;&gt;"",INT(P80)&amp;":"&amp;IF(ROUND(60*MOD(P80,1),1)&gt;=10,ROUND(60*MOD(P80,1),1),"0"&amp;ROUND(60*MOD(P80,1),1)),"")</f>
        <v/>
      </c>
      <c r="R80" s="4" t="n">
        <v>180</v>
      </c>
    </row>
    <row r="81" customFormat="false" ht="15" hidden="false" customHeight="false" outlineLevel="0" collapsed="false">
      <c r="D81" s="34" t="n">
        <v>39.5</v>
      </c>
      <c r="E81" s="39" t="n">
        <f aca="false">calc!$G$81</f>
        <v>24.296924708063</v>
      </c>
      <c r="F81" s="26" t="n">
        <f aca="false">calc!$I$81</f>
        <v>125.08219973862</v>
      </c>
      <c r="H81" s="2" t="str">
        <f aca="false">IF(IF(AND(E81+0.5*calc!$AT$3/60&gt;0,E80+0.5*calc!$AT$2/60&lt;0),TRUE()),INT(D80),"")</f>
        <v/>
      </c>
      <c r="I81" s="59" t="str">
        <f aca="false">IF(IF(AND(E81+0.5*calc!$AT$3/60&gt;0,E80+0.5*calc!$AT$2/60&lt;0),TRUE()),IF(D80=INT(D80),ROUND(-30*(E80+0.5*calc!$AT$2/60)/(-E80+E81),1),ROUND(30-30*(E80+0.5*calc!$AT$2/60)/(-E80+E81),1)),"")</f>
        <v/>
      </c>
      <c r="J81" s="2" t="str">
        <f aca="false">IF(IF(AND(E81+0.5*calc!$AT$3/60&lt;0,E80+0.5*calc!$AT$2/60&gt;0),TRUE()),INT(D80),"")</f>
        <v/>
      </c>
      <c r="K81" s="2" t="str">
        <f aca="false">IF(IF(AND(E81+0.5*calc!$AT$3/60&lt;0,E80+0.5*calc!$AT$2/60&gt;0),TRUE()),IF(D80=INT(D80),ROUND(30*(E80+0.5*calc!$AT$2/60)/(E80-E81),1),ROUND(30+30*(E80+0.5*calc!$AT$2/60)/(E80-E81),1)),"")</f>
        <v/>
      </c>
      <c r="L81" s="4" t="str">
        <f aca="false">IF(H81&lt;&gt;"",H81&amp;":"&amp;IF(I81&gt;=10,I81,"0"&amp;I81),"")</f>
        <v/>
      </c>
      <c r="M81" s="4" t="str">
        <f aca="false">IF(J81&lt;&gt;"",J81&amp;":"&amp;IF(K81&gt;=10,K81,"0"&amp;K81),"")</f>
        <v/>
      </c>
      <c r="N81" s="62" t="str">
        <f aca="false">IF(AND(E80&lt;E81,E82&lt;E81),D81+0.25*(E82-E80)/(2*E81-E80-E82),"")</f>
        <v/>
      </c>
      <c r="O81" s="6" t="str">
        <f aca="false">IF(N81&lt;&gt;"",INT(N81)&amp;":"&amp;IF(ROUND(60*MOD(D81+0.25*(E82-E80)/(2*E81-E80-E82),1),1)&gt;=10,ROUND(60*MOD(D81+0.25*(E82-E80)/(2*E81-E80-E82),1),1),"0"&amp;ROUND(60*MOD(D81+0.25*(E82-E80)/(2*E81-E80-E82),1),1)),"")</f>
        <v/>
      </c>
      <c r="P81" s="34" t="str">
        <f aca="false">IF(AND(F80&lt;180,F81&gt;180),D81-0.5*(F81-180)/(F81-F80),"")</f>
        <v/>
      </c>
      <c r="Q81" s="6" t="str">
        <f aca="false">IF(P81&lt;&gt;"",INT(P81)&amp;":"&amp;IF(ROUND(60*MOD(P81,1),1)&gt;=10,ROUND(60*MOD(P81,1),1),"0"&amp;ROUND(60*MOD(P81,1),1)),"")</f>
        <v/>
      </c>
      <c r="R81" s="4" t="n">
        <v>180</v>
      </c>
    </row>
    <row r="82" customFormat="false" ht="15" hidden="false" customHeight="false" outlineLevel="0" collapsed="false">
      <c r="D82" s="34" t="n">
        <v>40</v>
      </c>
      <c r="E82" s="39" t="n">
        <f aca="false">calc!$G$82</f>
        <v>28.0857973379722</v>
      </c>
      <c r="F82" s="26" t="n">
        <f aca="false">calc!$I$82</f>
        <v>132.072733668211</v>
      </c>
      <c r="H82" s="2" t="str">
        <f aca="false">IF(IF(AND(E82+0.5*calc!$AT$3/60&gt;0,E81+0.5*calc!$AT$2/60&lt;0),TRUE()),INT(D81),"")</f>
        <v/>
      </c>
      <c r="I82" s="59" t="str">
        <f aca="false">IF(IF(AND(E82+0.5*calc!$AT$3/60&gt;0,E81+0.5*calc!$AT$2/60&lt;0),TRUE()),IF(D81=INT(D81),ROUND(-30*(E81+0.5*calc!$AT$2/60)/(-E81+E82),1),ROUND(30-30*(E81+0.5*calc!$AT$2/60)/(-E81+E82),1)),"")</f>
        <v/>
      </c>
      <c r="J82" s="2" t="str">
        <f aca="false">IF(IF(AND(E82+0.5*calc!$AT$3/60&lt;0,E81+0.5*calc!$AT$2/60&gt;0),TRUE()),INT(D81),"")</f>
        <v/>
      </c>
      <c r="K82" s="2" t="str">
        <f aca="false">IF(IF(AND(E82+0.5*calc!$AT$3/60&lt;0,E81+0.5*calc!$AT$2/60&gt;0),TRUE()),IF(D81=INT(D81),ROUND(30*(E81+0.5*calc!$AT$2/60)/(E81-E82),1),ROUND(30+30*(E81+0.5*calc!$AT$2/60)/(E81-E82),1)),"")</f>
        <v/>
      </c>
      <c r="L82" s="4" t="str">
        <f aca="false">IF(H82&lt;&gt;"",H82&amp;":"&amp;IF(I82&gt;=10,I82,"0"&amp;I82),"")</f>
        <v/>
      </c>
      <c r="M82" s="4" t="str">
        <f aca="false">IF(J82&lt;&gt;"",J82&amp;":"&amp;IF(K82&gt;=10,K82,"0"&amp;K82),"")</f>
        <v/>
      </c>
      <c r="N82" s="62" t="str">
        <f aca="false">IF(AND(E81&lt;E82,E83&lt;E82),D82+0.25*(E83-E81)/(2*E82-E81-E83),"")</f>
        <v/>
      </c>
      <c r="O82" s="6" t="str">
        <f aca="false">IF(N82&lt;&gt;"",INT(N82)&amp;":"&amp;IF(ROUND(60*MOD(D82+0.25*(E83-E81)/(2*E82-E81-E83),1),1)&gt;=10,ROUND(60*MOD(D82+0.25*(E83-E81)/(2*E82-E81-E83),1),1),"0"&amp;ROUND(60*MOD(D82+0.25*(E83-E81)/(2*E82-E81-E83),1),1)),"")</f>
        <v/>
      </c>
      <c r="P82" s="34" t="str">
        <f aca="false">IF(AND(F81&lt;180,F82&gt;180),D82-0.5*(F82-180)/(F82-F81),"")</f>
        <v/>
      </c>
      <c r="Q82" s="6" t="str">
        <f aca="false">IF(P82&lt;&gt;"",INT(P82)&amp;":"&amp;IF(ROUND(60*MOD(P82,1),1)&gt;=10,ROUND(60*MOD(P82,1),1),"0"&amp;ROUND(60*MOD(P82,1),1)),"")</f>
        <v/>
      </c>
      <c r="R82" s="4" t="n">
        <v>180</v>
      </c>
    </row>
    <row r="83" customFormat="false" ht="15" hidden="false" customHeight="false" outlineLevel="0" collapsed="false">
      <c r="D83" s="34" t="n">
        <v>40.5</v>
      </c>
      <c r="E83" s="39" t="n">
        <f aca="false">calc!$G$83</f>
        <v>31.4839426447358</v>
      </c>
      <c r="F83" s="26" t="n">
        <f aca="false">calc!$I$83</f>
        <v>139.564309178</v>
      </c>
      <c r="H83" s="2" t="str">
        <f aca="false">IF(IF(AND(E83+0.5*calc!$AT$3/60&gt;0,E82+0.5*calc!$AT$2/60&lt;0),TRUE()),INT(D82),"")</f>
        <v/>
      </c>
      <c r="I83" s="59" t="str">
        <f aca="false">IF(IF(AND(E83+0.5*calc!$AT$3/60&gt;0,E82+0.5*calc!$AT$2/60&lt;0),TRUE()),IF(D82=INT(D82),ROUND(-30*(E82+0.5*calc!$AT$2/60)/(-E82+E83),1),ROUND(30-30*(E82+0.5*calc!$AT$2/60)/(-E82+E83),1)),"")</f>
        <v/>
      </c>
      <c r="J83" s="2" t="str">
        <f aca="false">IF(IF(AND(E83+0.5*calc!$AT$3/60&lt;0,E82+0.5*calc!$AT$2/60&gt;0),TRUE()),INT(D82),"")</f>
        <v/>
      </c>
      <c r="K83" s="2" t="str">
        <f aca="false">IF(IF(AND(E83+0.5*calc!$AT$3/60&lt;0,E82+0.5*calc!$AT$2/60&gt;0),TRUE()),IF(D82=INT(D82),ROUND(30*(E82+0.5*calc!$AT$2/60)/(E82-E83),1),ROUND(30+30*(E82+0.5*calc!$AT$2/60)/(E82-E83),1)),"")</f>
        <v/>
      </c>
      <c r="L83" s="4" t="str">
        <f aca="false">IF(H83&lt;&gt;"",H83&amp;":"&amp;IF(I83&gt;=10,I83,"0"&amp;I83),"")</f>
        <v/>
      </c>
      <c r="M83" s="4" t="str">
        <f aca="false">IF(J83&lt;&gt;"",J83&amp;":"&amp;IF(K83&gt;=10,K83,"0"&amp;K83),"")</f>
        <v/>
      </c>
      <c r="N83" s="62" t="str">
        <f aca="false">IF(AND(E82&lt;E83,E84&lt;E83),D83+0.25*(E84-E82)/(2*E83-E82-E84),"")</f>
        <v/>
      </c>
      <c r="O83" s="6" t="str">
        <f aca="false">IF(N83&lt;&gt;"",INT(N83)&amp;":"&amp;IF(ROUND(60*MOD(D83+0.25*(E84-E82)/(2*E83-E82-E84),1),1)&gt;=10,ROUND(60*MOD(D83+0.25*(E84-E82)/(2*E83-E82-E84),1),1),"0"&amp;ROUND(60*MOD(D83+0.25*(E84-E82)/(2*E83-E82-E84),1),1)),"")</f>
        <v/>
      </c>
      <c r="P83" s="34" t="str">
        <f aca="false">IF(AND(F82&lt;180,F83&gt;180),D83-0.5*(F83-180)/(F83-F82),"")</f>
        <v/>
      </c>
      <c r="Q83" s="6" t="str">
        <f aca="false">IF(P83&lt;&gt;"",INT(P83)&amp;":"&amp;IF(ROUND(60*MOD(P83,1),1)&gt;=10,ROUND(60*MOD(P83,1),1),"0"&amp;ROUND(60*MOD(P83,1),1)),"")</f>
        <v/>
      </c>
      <c r="R83" s="4" t="n">
        <v>180</v>
      </c>
    </row>
    <row r="84" customFormat="false" ht="15" hidden="false" customHeight="false" outlineLevel="0" collapsed="false">
      <c r="D84" s="34" t="n">
        <v>41</v>
      </c>
      <c r="E84" s="39" t="n">
        <f aca="false">calc!$G$84</f>
        <v>34.4030277208391</v>
      </c>
      <c r="F84" s="26" t="n">
        <f aca="false">calc!$I$84</f>
        <v>147.593195315211</v>
      </c>
      <c r="H84" s="2" t="str">
        <f aca="false">IF(IF(AND(E84+0.5*calc!$AT$3/60&gt;0,E83+0.5*calc!$AT$2/60&lt;0),TRUE()),INT(D83),"")</f>
        <v/>
      </c>
      <c r="I84" s="59" t="str">
        <f aca="false">IF(IF(AND(E84+0.5*calc!$AT$3/60&gt;0,E83+0.5*calc!$AT$2/60&lt;0),TRUE()),IF(D83=INT(D83),ROUND(-30*(E83+0.5*calc!$AT$2/60)/(-E83+E84),1),ROUND(30-30*(E83+0.5*calc!$AT$2/60)/(-E83+E84),1)),"")</f>
        <v/>
      </c>
      <c r="J84" s="2" t="str">
        <f aca="false">IF(IF(AND(E84+0.5*calc!$AT$3/60&lt;0,E83+0.5*calc!$AT$2/60&gt;0),TRUE()),INT(D83),"")</f>
        <v/>
      </c>
      <c r="K84" s="2" t="str">
        <f aca="false">IF(IF(AND(E84+0.5*calc!$AT$3/60&lt;0,E83+0.5*calc!$AT$2/60&gt;0),TRUE()),IF(D83=INT(D83),ROUND(30*(E83+0.5*calc!$AT$2/60)/(E83-E84),1),ROUND(30+30*(E83+0.5*calc!$AT$2/60)/(E83-E84),1)),"")</f>
        <v/>
      </c>
      <c r="L84" s="4" t="str">
        <f aca="false">IF(H84&lt;&gt;"",H84&amp;":"&amp;IF(I84&gt;=10,I84,"0"&amp;I84),"")</f>
        <v/>
      </c>
      <c r="M84" s="4" t="str">
        <f aca="false">IF(J84&lt;&gt;"",J84&amp;":"&amp;IF(K84&gt;=10,K84,"0"&amp;K84),"")</f>
        <v/>
      </c>
      <c r="N84" s="62" t="str">
        <f aca="false">IF(AND(E83&lt;E84,E85&lt;E84),D84+0.25*(E85-E83)/(2*E84-E83-E85),"")</f>
        <v/>
      </c>
      <c r="O84" s="6" t="str">
        <f aca="false">IF(N84&lt;&gt;"",INT(N84)&amp;":"&amp;IF(ROUND(60*MOD(D84+0.25*(E85-E83)/(2*E84-E83-E85),1),1)&gt;=10,ROUND(60*MOD(D84+0.25*(E85-E83)/(2*E84-E83-E85),1),1),"0"&amp;ROUND(60*MOD(D84+0.25*(E85-E83)/(2*E84-E83-E85),1),1)),"")</f>
        <v/>
      </c>
      <c r="P84" s="34" t="str">
        <f aca="false">IF(AND(F83&lt;180,F84&gt;180),D84-0.5*(F84-180)/(F84-F83),"")</f>
        <v/>
      </c>
      <c r="Q84" s="6" t="str">
        <f aca="false">IF(P84&lt;&gt;"",INT(P84)&amp;":"&amp;IF(ROUND(60*MOD(P84,1),1)&gt;=10,ROUND(60*MOD(P84,1),1),"0"&amp;ROUND(60*MOD(P84,1),1)),"")</f>
        <v/>
      </c>
      <c r="R84" s="4" t="n">
        <v>180</v>
      </c>
    </row>
    <row r="85" customFormat="false" ht="15" hidden="false" customHeight="false" outlineLevel="0" collapsed="false">
      <c r="D85" s="34" t="n">
        <v>41.5</v>
      </c>
      <c r="E85" s="39" t="n">
        <f aca="false">calc!$G$85</f>
        <v>36.7511779422082</v>
      </c>
      <c r="F85" s="26" t="n">
        <f aca="false">calc!$I$85</f>
        <v>156.154301844083</v>
      </c>
      <c r="H85" s="2" t="str">
        <f aca="false">IF(IF(AND(E85+0.5*calc!$AT$3/60&gt;0,E84+0.5*calc!$AT$2/60&lt;0),TRUE()),INT(D84),"")</f>
        <v/>
      </c>
      <c r="I85" s="59" t="str">
        <f aca="false">IF(IF(AND(E85+0.5*calc!$AT$3/60&gt;0,E84+0.5*calc!$AT$2/60&lt;0),TRUE()),IF(D84=INT(D84),ROUND(-30*(E84+0.5*calc!$AT$2/60)/(-E84+E85),1),ROUND(30-30*(E84+0.5*calc!$AT$2/60)/(-E84+E85),1)),"")</f>
        <v/>
      </c>
      <c r="J85" s="2" t="str">
        <f aca="false">IF(IF(AND(E85+0.5*calc!$AT$3/60&lt;0,E84+0.5*calc!$AT$2/60&gt;0),TRUE()),INT(D84),"")</f>
        <v/>
      </c>
      <c r="K85" s="2" t="str">
        <f aca="false">IF(IF(AND(E85+0.5*calc!$AT$3/60&lt;0,E84+0.5*calc!$AT$2/60&gt;0),TRUE()),IF(D84=INT(D84),ROUND(30*(E84+0.5*calc!$AT$2/60)/(E84-E85),1),ROUND(30+30*(E84+0.5*calc!$AT$2/60)/(E84-E85),1)),"")</f>
        <v/>
      </c>
      <c r="L85" s="4" t="str">
        <f aca="false">IF(H85&lt;&gt;"",H85&amp;":"&amp;IF(I85&gt;=10,I85,"0"&amp;I85),"")</f>
        <v/>
      </c>
      <c r="M85" s="4" t="str">
        <f aca="false">IF(J85&lt;&gt;"",J85&amp;":"&amp;IF(K85&gt;=10,K85,"0"&amp;K85),"")</f>
        <v/>
      </c>
      <c r="N85" s="62" t="str">
        <f aca="false">IF(AND(E84&lt;E85,E86&lt;E85),D85+0.25*(E86-E84)/(2*E85-E84-E86),"")</f>
        <v/>
      </c>
      <c r="O85" s="6" t="str">
        <f aca="false">IF(N85&lt;&gt;"",INT(N85)&amp;":"&amp;IF(ROUND(60*MOD(D85+0.25*(E86-E84)/(2*E85-E84-E86),1),1)&gt;=10,ROUND(60*MOD(D85+0.25*(E86-E84)/(2*E85-E84-E86),1),1),"0"&amp;ROUND(60*MOD(D85+0.25*(E86-E84)/(2*E85-E84-E86),1),1)),"")</f>
        <v/>
      </c>
      <c r="P85" s="34" t="str">
        <f aca="false">IF(AND(F84&lt;180,F85&gt;180),D85-0.5*(F85-180)/(F85-F84),"")</f>
        <v/>
      </c>
      <c r="Q85" s="6" t="str">
        <f aca="false">IF(P85&lt;&gt;"",INT(P85)&amp;":"&amp;IF(ROUND(60*MOD(P85,1),1)&gt;=10,ROUND(60*MOD(P85,1),1),"0"&amp;ROUND(60*MOD(P85,1),1)),"")</f>
        <v/>
      </c>
      <c r="R85" s="4" t="n">
        <v>180</v>
      </c>
    </row>
    <row r="86" customFormat="false" ht="15" hidden="false" customHeight="false" outlineLevel="0" collapsed="false">
      <c r="D86" s="34" t="n">
        <v>42</v>
      </c>
      <c r="E86" s="39" t="n">
        <f aca="false">calc!$G$86</f>
        <v>38.440863239233</v>
      </c>
      <c r="F86" s="26" t="n">
        <f aca="false">calc!$I$86</f>
        <v>165.18501893761</v>
      </c>
      <c r="H86" s="2" t="str">
        <f aca="false">IF(IF(AND(E86+0.5*calc!$AT$3/60&gt;0,E85+0.5*calc!$AT$2/60&lt;0),TRUE()),INT(D85),"")</f>
        <v/>
      </c>
      <c r="I86" s="59" t="str">
        <f aca="false">IF(IF(AND(E86+0.5*calc!$AT$3/60&gt;0,E85+0.5*calc!$AT$2/60&lt;0),TRUE()),IF(D85=INT(D85),ROUND(-30*(E85+0.5*calc!$AT$2/60)/(-E85+E86),1),ROUND(30-30*(E85+0.5*calc!$AT$2/60)/(-E85+E86),1)),"")</f>
        <v/>
      </c>
      <c r="J86" s="2" t="str">
        <f aca="false">IF(IF(AND(E86+0.5*calc!$AT$3/60&lt;0,E85+0.5*calc!$AT$2/60&gt;0),TRUE()),INT(D85),"")</f>
        <v/>
      </c>
      <c r="K86" s="2" t="str">
        <f aca="false">IF(IF(AND(E86+0.5*calc!$AT$3/60&lt;0,E85+0.5*calc!$AT$2/60&gt;0),TRUE()),IF(D85=INT(D85),ROUND(30*(E85+0.5*calc!$AT$2/60)/(E85-E86),1),ROUND(30+30*(E85+0.5*calc!$AT$2/60)/(E85-E86),1)),"")</f>
        <v/>
      </c>
      <c r="L86" s="4" t="str">
        <f aca="false">IF(H86&lt;&gt;"",H86&amp;":"&amp;IF(I86&gt;=10,I86,"0"&amp;I86),"")</f>
        <v/>
      </c>
      <c r="M86" s="4" t="str">
        <f aca="false">IF(J86&lt;&gt;"",J86&amp;":"&amp;IF(K86&gt;=10,K86,"0"&amp;K86),"")</f>
        <v/>
      </c>
      <c r="N86" s="62" t="str">
        <f aca="false">IF(AND(E85&lt;E86,E87&lt;E86),D86+0.25*(E87-E85)/(2*E86-E85-E87),"")</f>
        <v/>
      </c>
      <c r="O86" s="6" t="str">
        <f aca="false">IF(N86&lt;&gt;"",INT(N86)&amp;":"&amp;IF(ROUND(60*MOD(D86+0.25*(E87-E85)/(2*E86-E85-E87),1),1)&gt;=10,ROUND(60*MOD(D86+0.25*(E87-E85)/(2*E86-E85-E87),1),1),"0"&amp;ROUND(60*MOD(D86+0.25*(E87-E85)/(2*E86-E85-E87),1),1)),"")</f>
        <v/>
      </c>
      <c r="P86" s="34" t="str">
        <f aca="false">IF(AND(F85&lt;180,F86&gt;180),D86-0.5*(F86-180)/(F86-F85),"")</f>
        <v/>
      </c>
      <c r="Q86" s="6" t="str">
        <f aca="false">IF(P86&lt;&gt;"",INT(P86)&amp;":"&amp;IF(ROUND(60*MOD(P86,1),1)&gt;=10,ROUND(60*MOD(P86,1),1),"0"&amp;ROUND(60*MOD(P86,1),1)),"")</f>
        <v/>
      </c>
      <c r="R86" s="4" t="n">
        <v>180</v>
      </c>
    </row>
    <row r="87" customFormat="false" ht="15" hidden="false" customHeight="false" outlineLevel="0" collapsed="false">
      <c r="D87" s="34" t="n">
        <v>42.5</v>
      </c>
      <c r="E87" s="39" t="n">
        <f aca="false">calc!$G$87</f>
        <v>39.4001988945593</v>
      </c>
      <c r="F87" s="26" t="n">
        <f aca="false">calc!$I$87</f>
        <v>174.557116925978</v>
      </c>
      <c r="H87" s="2" t="str">
        <f aca="false">IF(IF(AND(E87+0.5*calc!$AT$3/60&gt;0,E86+0.5*calc!$AT$2/60&lt;0),TRUE()),INT(D86),"")</f>
        <v/>
      </c>
      <c r="I87" s="59" t="str">
        <f aca="false">IF(IF(AND(E87+0.5*calc!$AT$3/60&gt;0,E86+0.5*calc!$AT$2/60&lt;0),TRUE()),IF(D86=INT(D86),ROUND(-30*(E86+0.5*calc!$AT$2/60)/(-E86+E87),1),ROUND(30-30*(E86+0.5*calc!$AT$2/60)/(-E86+E87),1)),"")</f>
        <v/>
      </c>
      <c r="J87" s="2" t="str">
        <f aca="false">IF(IF(AND(E87+0.5*calc!$AT$3/60&lt;0,E86+0.5*calc!$AT$2/60&gt;0),TRUE()),INT(D86),"")</f>
        <v/>
      </c>
      <c r="K87" s="2" t="str">
        <f aca="false">IF(IF(AND(E87+0.5*calc!$AT$3/60&lt;0,E86+0.5*calc!$AT$2/60&gt;0),TRUE()),IF(D86=INT(D86),ROUND(30*(E86+0.5*calc!$AT$2/60)/(E86-E87),1),ROUND(30+30*(E86+0.5*calc!$AT$2/60)/(E86-E87),1)),"")</f>
        <v/>
      </c>
      <c r="L87" s="4" t="str">
        <f aca="false">IF(H87&lt;&gt;"",H87&amp;":"&amp;IF(I87&gt;=10,I87,"0"&amp;I87),"")</f>
        <v/>
      </c>
      <c r="M87" s="4" t="str">
        <f aca="false">IF(J87&lt;&gt;"",J87&amp;":"&amp;IF(K87&gt;=10,K87,"0"&amp;K87),"")</f>
        <v/>
      </c>
      <c r="N87" s="62" t="str">
        <f aca="false">IF(AND(E86&lt;E87,E88&lt;E87),D87+0.25*(E88-E86)/(2*E87-E86-E88),"")</f>
        <v/>
      </c>
      <c r="O87" s="6" t="str">
        <f aca="false">IF(N87&lt;&gt;"",INT(N87)&amp;":"&amp;IF(ROUND(60*MOD(D87+0.25*(E88-E86)/(2*E87-E86-E88),1),1)&gt;=10,ROUND(60*MOD(D87+0.25*(E88-E86)/(2*E87-E86-E88),1),1),"0"&amp;ROUND(60*MOD(D87+0.25*(E88-E86)/(2*E87-E86-E88),1),1)),"")</f>
        <v/>
      </c>
      <c r="P87" s="34" t="str">
        <f aca="false">IF(AND(F86&lt;180,F87&gt;180),D87-0.5*(F87-180)/(F87-F86),"")</f>
        <v/>
      </c>
      <c r="Q87" s="6" t="str">
        <f aca="false">IF(P87&lt;&gt;"",INT(P87)&amp;":"&amp;IF(ROUND(60*MOD(P87,1),1)&gt;=10,ROUND(60*MOD(P87,1),1),"0"&amp;ROUND(60*MOD(P87,1),1)),"")</f>
        <v/>
      </c>
      <c r="R87" s="4" t="n">
        <v>180</v>
      </c>
    </row>
    <row r="88" customFormat="false" ht="15" hidden="false" customHeight="false" outlineLevel="0" collapsed="false">
      <c r="D88" s="34" t="n">
        <v>43</v>
      </c>
      <c r="E88" s="39" t="n">
        <f aca="false">calc!$G$88</f>
        <v>39.5851881869543</v>
      </c>
      <c r="F88" s="26" t="n">
        <f aca="false">calc!$I$88</f>
        <v>184.085547096609</v>
      </c>
      <c r="H88" s="2" t="str">
        <f aca="false">IF(IF(AND(E88+0.5*calc!$AT$3/60&gt;0,E87+0.5*calc!$AT$2/60&lt;0),TRUE()),INT(D87),"")</f>
        <v/>
      </c>
      <c r="I88" s="59" t="str">
        <f aca="false">IF(IF(AND(E88+0.5*calc!$AT$3/60&gt;0,E87+0.5*calc!$AT$2/60&lt;0),TRUE()),IF(D87=INT(D87),ROUND(-30*(E87+0.5*calc!$AT$2/60)/(-E87+E88),1),ROUND(30-30*(E87+0.5*calc!$AT$2/60)/(-E87+E88),1)),"")</f>
        <v/>
      </c>
      <c r="J88" s="2" t="str">
        <f aca="false">IF(IF(AND(E88+0.5*calc!$AT$3/60&lt;0,E87+0.5*calc!$AT$2/60&gt;0),TRUE()),INT(D87),"")</f>
        <v/>
      </c>
      <c r="K88" s="2" t="str">
        <f aca="false">IF(IF(AND(E88+0.5*calc!$AT$3/60&lt;0,E87+0.5*calc!$AT$2/60&gt;0),TRUE()),IF(D87=INT(D87),ROUND(30*(E87+0.5*calc!$AT$2/60)/(E87-E88),1),ROUND(30+30*(E87+0.5*calc!$AT$2/60)/(E87-E88),1)),"")</f>
        <v/>
      </c>
      <c r="L88" s="4" t="str">
        <f aca="false">IF(H88&lt;&gt;"",H88&amp;":"&amp;IF(I88&gt;=10,I88,"0"&amp;I88),"")</f>
        <v/>
      </c>
      <c r="M88" s="4" t="str">
        <f aca="false">IF(J88&lt;&gt;"",J88&amp;":"&amp;IF(K88&gt;=10,K88,"0"&amp;K88),"")</f>
        <v/>
      </c>
      <c r="N88" s="62" t="n">
        <f aca="false">IF(AND(E87&lt;E88,E89&lt;E88),D88+0.25*(E89-E87)/(2*E88-E87-E89),"")</f>
        <v>42.8683510365581</v>
      </c>
      <c r="O88" s="6" t="str">
        <f aca="false">IF(N88&lt;&gt;"",INT(N88)&amp;":"&amp;IF(ROUND(60*MOD(D88+0.25*(E89-E87)/(2*E88-E87-E89),1),1)&gt;=10,ROUND(60*MOD(D88+0.25*(E89-E87)/(2*E88-E87-E89),1),1),"0"&amp;ROUND(60*MOD(D88+0.25*(E89-E87)/(2*E88-E87-E89),1),1)),"")</f>
        <v>42:52,1</v>
      </c>
      <c r="P88" s="34" t="n">
        <f aca="false">IF(AND(F87&lt;180,F88&gt;180),D88-0.5*(F88-180)/(F88-F87),"")</f>
        <v>42.7856127912234</v>
      </c>
      <c r="Q88" s="6" t="str">
        <f aca="false">IF(P88&lt;&gt;"",INT(P88)&amp;":"&amp;IF(ROUND(60*MOD(P88,1),1)&gt;=10,ROUND(60*MOD(P88,1),1),"0"&amp;ROUND(60*MOD(P88,1),1)),"")</f>
        <v>42:47,1</v>
      </c>
      <c r="R88" s="4" t="n">
        <v>180</v>
      </c>
    </row>
    <row r="89" customFormat="false" ht="15" hidden="false" customHeight="false" outlineLevel="0" collapsed="false">
      <c r="D89" s="34" t="n">
        <v>43.5</v>
      </c>
      <c r="E89" s="39" t="n">
        <f aca="false">calc!$G$89</f>
        <v>38.9886495021767</v>
      </c>
      <c r="F89" s="26" t="n">
        <f aca="false">calc!$I$89</f>
        <v>193.557102353594</v>
      </c>
      <c r="H89" s="2" t="str">
        <f aca="false">IF(IF(AND(E89+0.5*calc!$AT$3/60&gt;0,E88+0.5*calc!$AT$2/60&lt;0),TRUE()),INT(D88),"")</f>
        <v/>
      </c>
      <c r="I89" s="59" t="str">
        <f aca="false">IF(IF(AND(E89+0.5*calc!$AT$3/60&gt;0,E88+0.5*calc!$AT$2/60&lt;0),TRUE()),IF(D88=INT(D88),ROUND(-30*(E88+0.5*calc!$AT$2/60)/(-E88+E89),1),ROUND(30-30*(E88+0.5*calc!$AT$2/60)/(-E88+E89),1)),"")</f>
        <v/>
      </c>
      <c r="J89" s="2" t="str">
        <f aca="false">IF(IF(AND(E89+0.5*calc!$AT$3/60&lt;0,E88+0.5*calc!$AT$2/60&gt;0),TRUE()),INT(D88),"")</f>
        <v/>
      </c>
      <c r="K89" s="2" t="str">
        <f aca="false">IF(IF(AND(E89+0.5*calc!$AT$3/60&lt;0,E88+0.5*calc!$AT$2/60&gt;0),TRUE()),IF(D88=INT(D88),ROUND(30*(E88+0.5*calc!$AT$2/60)/(E88-E89),1),ROUND(30+30*(E88+0.5*calc!$AT$2/60)/(E88-E89),1)),"")</f>
        <v/>
      </c>
      <c r="L89" s="4" t="str">
        <f aca="false">IF(H89&lt;&gt;"",H89&amp;":"&amp;IF(I89&gt;=10,I89,"0"&amp;I89),"")</f>
        <v/>
      </c>
      <c r="M89" s="4" t="str">
        <f aca="false">IF(J89&lt;&gt;"",J89&amp;":"&amp;IF(K89&gt;=10,K89,"0"&amp;K89),"")</f>
        <v/>
      </c>
      <c r="N89" s="62" t="str">
        <f aca="false">IF(AND(E88&lt;E89,E90&lt;E89),D89+0.25*(E90-E88)/(2*E89-E88-E90),"")</f>
        <v/>
      </c>
      <c r="O89" s="6" t="str">
        <f aca="false">IF(N89&lt;&gt;"",INT(N89)&amp;":"&amp;IF(ROUND(60*MOD(D89+0.25*(E90-E88)/(2*E89-E88-E90),1),1)&gt;=10,ROUND(60*MOD(D89+0.25*(E90-E88)/(2*E89-E88-E90),1),1),"0"&amp;ROUND(60*MOD(D89+0.25*(E90-E88)/(2*E89-E88-E90),1),1)),"")</f>
        <v/>
      </c>
      <c r="P89" s="34" t="str">
        <f aca="false">IF(AND(F88&lt;180,F89&gt;180),D89-0.5*(F89-180)/(F89-F88),"")</f>
        <v/>
      </c>
      <c r="Q89" s="6" t="str">
        <f aca="false">IF(P89&lt;&gt;"",INT(P89)&amp;":"&amp;IF(ROUND(60*MOD(P89,1),1)&gt;=10,ROUND(60*MOD(P89,1),1),"0"&amp;ROUND(60*MOD(P89,1),1)),"")</f>
        <v/>
      </c>
      <c r="R89" s="4" t="n">
        <v>180</v>
      </c>
    </row>
    <row r="90" customFormat="false" ht="15" hidden="false" customHeight="false" outlineLevel="0" collapsed="false">
      <c r="D90" s="34" t="n">
        <v>44</v>
      </c>
      <c r="E90" s="39" t="n">
        <f aca="false">calc!$G$90</f>
        <v>37.641934072681</v>
      </c>
      <c r="F90" s="26" t="n">
        <f aca="false">calc!$I$90</f>
        <v>202.770484303509</v>
      </c>
      <c r="H90" s="2" t="str">
        <f aca="false">IF(IF(AND(E90+0.5*calc!$AT$3/60&gt;0,E89+0.5*calc!$AT$2/60&lt;0),TRUE()),INT(D89),"")</f>
        <v/>
      </c>
      <c r="I90" s="59" t="str">
        <f aca="false">IF(IF(AND(E90+0.5*calc!$AT$3/60&gt;0,E89+0.5*calc!$AT$2/60&lt;0),TRUE()),IF(D89=INT(D89),ROUND(-30*(E89+0.5*calc!$AT$2/60)/(-E89+E90),1),ROUND(30-30*(E89+0.5*calc!$AT$2/60)/(-E89+E90),1)),"")</f>
        <v/>
      </c>
      <c r="J90" s="2" t="str">
        <f aca="false">IF(IF(AND(E90+0.5*calc!$AT$3/60&lt;0,E89+0.5*calc!$AT$2/60&gt;0),TRUE()),INT(D89),"")</f>
        <v/>
      </c>
      <c r="K90" s="2" t="str">
        <f aca="false">IF(IF(AND(E90+0.5*calc!$AT$3/60&lt;0,E89+0.5*calc!$AT$2/60&gt;0),TRUE()),IF(D89=INT(D89),ROUND(30*(E89+0.5*calc!$AT$2/60)/(E89-E90),1),ROUND(30+30*(E89+0.5*calc!$AT$2/60)/(E89-E90),1)),"")</f>
        <v/>
      </c>
      <c r="L90" s="4" t="str">
        <f aca="false">IF(H90&lt;&gt;"",H90&amp;":"&amp;IF(I90&gt;=10,I90,"0"&amp;I90),"")</f>
        <v/>
      </c>
      <c r="M90" s="4" t="str">
        <f aca="false">IF(J90&lt;&gt;"",J90&amp;":"&amp;IF(K90&gt;=10,K90,"0"&amp;K90),"")</f>
        <v/>
      </c>
      <c r="N90" s="62" t="str">
        <f aca="false">IF(AND(E89&lt;E90,E91&lt;E90),D90+0.25*(E91-E89)/(2*E90-E89-E91),"")</f>
        <v/>
      </c>
      <c r="O90" s="6" t="str">
        <f aca="false">IF(N90&lt;&gt;"",INT(N90)&amp;":"&amp;IF(ROUND(60*MOD(D90+0.25*(E91-E89)/(2*E90-E89-E91),1),1)&gt;=10,ROUND(60*MOD(D90+0.25*(E91-E89)/(2*E90-E89-E91),1),1),"0"&amp;ROUND(60*MOD(D90+0.25*(E91-E89)/(2*E90-E89-E91),1),1)),"")</f>
        <v/>
      </c>
      <c r="P90" s="34" t="str">
        <f aca="false">IF(AND(F89&lt;180,F90&gt;180),D90-0.5*(F90-180)/(F90-F89),"")</f>
        <v/>
      </c>
      <c r="Q90" s="6" t="str">
        <f aca="false">IF(P90&lt;&gt;"",INT(P90)&amp;":"&amp;IF(ROUND(60*MOD(P90,1),1)&gt;=10,ROUND(60*MOD(P90,1),1),"0"&amp;ROUND(60*MOD(P90,1),1)),"")</f>
        <v/>
      </c>
      <c r="R90" s="4" t="n">
        <v>180</v>
      </c>
    </row>
    <row r="91" customFormat="false" ht="15" hidden="false" customHeight="false" outlineLevel="0" collapsed="false">
      <c r="D91" s="34" t="n">
        <v>44.5</v>
      </c>
      <c r="E91" s="39" t="n">
        <f aca="false">calc!$G$91</f>
        <v>35.6086167743542</v>
      </c>
      <c r="F91" s="26" t="n">
        <f aca="false">calc!$I$91</f>
        <v>211.571463288756</v>
      </c>
      <c r="H91" s="2" t="str">
        <f aca="false">IF(IF(AND(E91+0.5*calc!$AT$3/60&gt;0,E90+0.5*calc!$AT$2/60&lt;0),TRUE()),INT(D90),"")</f>
        <v/>
      </c>
      <c r="I91" s="59" t="str">
        <f aca="false">IF(IF(AND(E91+0.5*calc!$AT$3/60&gt;0,E90+0.5*calc!$AT$2/60&lt;0),TRUE()),IF(D90=INT(D90),ROUND(-30*(E90+0.5*calc!$AT$2/60)/(-E90+E91),1),ROUND(30-30*(E90+0.5*calc!$AT$2/60)/(-E90+E91),1)),"")</f>
        <v/>
      </c>
      <c r="J91" s="2" t="str">
        <f aca="false">IF(IF(AND(E91+0.5*calc!$AT$3/60&lt;0,E90+0.5*calc!$AT$2/60&gt;0),TRUE()),INT(D90),"")</f>
        <v/>
      </c>
      <c r="K91" s="2" t="str">
        <f aca="false">IF(IF(AND(E91+0.5*calc!$AT$3/60&lt;0,E90+0.5*calc!$AT$2/60&gt;0),TRUE()),IF(D90=INT(D90),ROUND(30*(E90+0.5*calc!$AT$2/60)/(E90-E91),1),ROUND(30+30*(E90+0.5*calc!$AT$2/60)/(E90-E91),1)),"")</f>
        <v/>
      </c>
      <c r="L91" s="4" t="str">
        <f aca="false">IF(H91&lt;&gt;"",H91&amp;":"&amp;IF(I91&gt;=10,I91,"0"&amp;I91),"")</f>
        <v/>
      </c>
      <c r="M91" s="4" t="str">
        <f aca="false">IF(J91&lt;&gt;"",J91&amp;":"&amp;IF(K91&gt;=10,K91,"0"&amp;K91),"")</f>
        <v/>
      </c>
      <c r="N91" s="62" t="str">
        <f aca="false">IF(AND(E90&lt;E91,E92&lt;E91),D91+0.25*(E92-E90)/(2*E91-E90-E92),"")</f>
        <v/>
      </c>
      <c r="O91" s="6" t="str">
        <f aca="false">IF(N91&lt;&gt;"",INT(N91)&amp;":"&amp;IF(ROUND(60*MOD(D91+0.25*(E92-E90)/(2*E91-E90-E92),1),1)&gt;=10,ROUND(60*MOD(D91+0.25*(E92-E90)/(2*E91-E90-E92),1),1),"0"&amp;ROUND(60*MOD(D91+0.25*(E92-E90)/(2*E91-E90-E92),1),1)),"")</f>
        <v/>
      </c>
      <c r="P91" s="34" t="str">
        <f aca="false">IF(AND(F90&lt;180,F91&gt;180),D91-0.5*(F91-180)/(F91-F90),"")</f>
        <v/>
      </c>
      <c r="Q91" s="6" t="str">
        <f aca="false">IF(P91&lt;&gt;"",INT(P91)&amp;":"&amp;IF(ROUND(60*MOD(P91,1),1)&gt;=10,ROUND(60*MOD(P91,1),1),"0"&amp;ROUND(60*MOD(P91,1),1)),"")</f>
        <v/>
      </c>
      <c r="R91" s="4" t="n">
        <v>180</v>
      </c>
    </row>
    <row r="92" customFormat="false" ht="15" hidden="false" customHeight="false" outlineLevel="0" collapsed="false">
      <c r="D92" s="34" t="n">
        <v>45</v>
      </c>
      <c r="E92" s="39" t="n">
        <f aca="false">calc!$G$92</f>
        <v>32.9730513675402</v>
      </c>
      <c r="F92" s="26" t="n">
        <f aca="false">calc!$I$92</f>
        <v>219.870294715537</v>
      </c>
      <c r="H92" s="2" t="str">
        <f aca="false">IF(IF(AND(E92+0.5*calc!$AT$3/60&gt;0,E91+0.5*calc!$AT$2/60&lt;0),TRUE()),INT(D91),"")</f>
        <v/>
      </c>
      <c r="I92" s="59" t="str">
        <f aca="false">IF(IF(AND(E92+0.5*calc!$AT$3/60&gt;0,E91+0.5*calc!$AT$2/60&lt;0),TRUE()),IF(D91=INT(D91),ROUND(-30*(E91+0.5*calc!$AT$2/60)/(-E91+E92),1),ROUND(30-30*(E91+0.5*calc!$AT$2/60)/(-E91+E92),1)),"")</f>
        <v/>
      </c>
      <c r="J92" s="2" t="str">
        <f aca="false">IF(IF(AND(E92+0.5*calc!$AT$3/60&lt;0,E91+0.5*calc!$AT$2/60&gt;0),TRUE()),INT(D91),"")</f>
        <v/>
      </c>
      <c r="K92" s="2" t="str">
        <f aca="false">IF(IF(AND(E92+0.5*calc!$AT$3/60&lt;0,E91+0.5*calc!$AT$2/60&gt;0),TRUE()),IF(D91=INT(D91),ROUND(30*(E91+0.5*calc!$AT$2/60)/(E91-E92),1),ROUND(30+30*(E91+0.5*calc!$AT$2/60)/(E91-E92),1)),"")</f>
        <v/>
      </c>
      <c r="L92" s="4" t="str">
        <f aca="false">IF(H92&lt;&gt;"",H92&amp;":"&amp;IF(I92&gt;=10,I92,"0"&amp;I92),"")</f>
        <v/>
      </c>
      <c r="M92" s="4" t="str">
        <f aca="false">IF(J92&lt;&gt;"",J92&amp;":"&amp;IF(K92&gt;=10,K92,"0"&amp;K92),"")</f>
        <v/>
      </c>
      <c r="N92" s="62" t="str">
        <f aca="false">IF(AND(E91&lt;E92,E93&lt;E92),D92+0.25*(E93-E91)/(2*E92-E91-E93),"")</f>
        <v/>
      </c>
      <c r="O92" s="6" t="str">
        <f aca="false">IF(N92&lt;&gt;"",INT(N92)&amp;":"&amp;IF(ROUND(60*MOD(D92+0.25*(E93-E91)/(2*E92-E91-E93),1),1)&gt;=10,ROUND(60*MOD(D92+0.25*(E93-E91)/(2*E92-E91-E93),1),1),"0"&amp;ROUND(60*MOD(D92+0.25*(E93-E91)/(2*E92-E91-E93),1),1)),"")</f>
        <v/>
      </c>
      <c r="P92" s="34" t="str">
        <f aca="false">IF(AND(F91&lt;180,F92&gt;180),D92-0.5*(F92-180)/(F92-F91),"")</f>
        <v/>
      </c>
      <c r="Q92" s="6" t="str">
        <f aca="false">IF(P92&lt;&gt;"",INT(P92)&amp;":"&amp;IF(ROUND(60*MOD(P92,1),1)&gt;=10,ROUND(60*MOD(P92,1),1),"0"&amp;ROUND(60*MOD(P92,1),1)),"")</f>
        <v/>
      </c>
      <c r="R92" s="4" t="n">
        <v>180</v>
      </c>
    </row>
    <row r="93" customFormat="false" ht="15" hidden="false" customHeight="false" outlineLevel="0" collapsed="false">
      <c r="D93" s="34" t="n">
        <v>45.5</v>
      </c>
      <c r="E93" s="39" t="n">
        <f aca="false">calc!$G$93</f>
        <v>29.8282536979501</v>
      </c>
      <c r="F93" s="26" t="n">
        <f aca="false">calc!$I$93</f>
        <v>227.639818531675</v>
      </c>
      <c r="H93" s="2" t="str">
        <f aca="false">IF(IF(AND(E93+0.5*calc!$AT$3/60&gt;0,E92+0.5*calc!$AT$2/60&lt;0),TRUE()),INT(D92),"")</f>
        <v/>
      </c>
      <c r="I93" s="59" t="str">
        <f aca="false">IF(IF(AND(E93+0.5*calc!$AT$3/60&gt;0,E92+0.5*calc!$AT$2/60&lt;0),TRUE()),IF(D92=INT(D92),ROUND(-30*(E92+0.5*calc!$AT$2/60)/(-E92+E93),1),ROUND(30-30*(E92+0.5*calc!$AT$2/60)/(-E92+E93),1)),"")</f>
        <v/>
      </c>
      <c r="J93" s="2" t="str">
        <f aca="false">IF(IF(AND(E93+0.5*calc!$AT$3/60&lt;0,E92+0.5*calc!$AT$2/60&gt;0),TRUE()),INT(D92),"")</f>
        <v/>
      </c>
      <c r="K93" s="2" t="str">
        <f aca="false">IF(IF(AND(E93+0.5*calc!$AT$3/60&lt;0,E92+0.5*calc!$AT$2/60&gt;0),TRUE()),IF(D92=INT(D92),ROUND(30*(E92+0.5*calc!$AT$2/60)/(E92-E93),1),ROUND(30+30*(E92+0.5*calc!$AT$2/60)/(E92-E93),1)),"")</f>
        <v/>
      </c>
      <c r="L93" s="4" t="str">
        <f aca="false">IF(H93&lt;&gt;"",H93&amp;":"&amp;IF(I93&gt;=10,I93,"0"&amp;I93),"")</f>
        <v/>
      </c>
      <c r="M93" s="4" t="str">
        <f aca="false">IF(J93&lt;&gt;"",J93&amp;":"&amp;IF(K93&gt;=10,K93,"0"&amp;K93),"")</f>
        <v/>
      </c>
      <c r="N93" s="62" t="str">
        <f aca="false">IF(AND(E92&lt;E93,E94&lt;E93),D93+0.25*(E94-E92)/(2*E93-E92-E94),"")</f>
        <v/>
      </c>
      <c r="O93" s="6" t="str">
        <f aca="false">IF(N93&lt;&gt;"",INT(N93)&amp;":"&amp;IF(ROUND(60*MOD(D93+0.25*(E94-E92)/(2*E93-E92-E94),1),1)&gt;=10,ROUND(60*MOD(D93+0.25*(E94-E92)/(2*E93-E92-E94),1),1),"0"&amp;ROUND(60*MOD(D93+0.25*(E94-E92)/(2*E93-E92-E94),1),1)),"")</f>
        <v/>
      </c>
      <c r="P93" s="34" t="str">
        <f aca="false">IF(AND(F92&lt;180,F93&gt;180),D93-0.5*(F93-180)/(F93-F92),"")</f>
        <v/>
      </c>
      <c r="Q93" s="6" t="str">
        <f aca="false">IF(P93&lt;&gt;"",INT(P93)&amp;":"&amp;IF(ROUND(60*MOD(P93,1),1)&gt;=10,ROUND(60*MOD(P93,1),1),"0"&amp;ROUND(60*MOD(P93,1),1)),"")</f>
        <v/>
      </c>
      <c r="R93" s="4" t="n">
        <v>180</v>
      </c>
    </row>
    <row r="94" customFormat="false" ht="15" hidden="false" customHeight="false" outlineLevel="0" collapsed="false">
      <c r="D94" s="34" t="n">
        <v>46</v>
      </c>
      <c r="E94" s="39" t="n">
        <f aca="false">calc!$G$94</f>
        <v>26.2664654027945</v>
      </c>
      <c r="F94" s="26" t="n">
        <f aca="false">calc!$I$94</f>
        <v>234.901556696805</v>
      </c>
      <c r="H94" s="2" t="str">
        <f aca="false">IF(IF(AND(E94+0.5*calc!$AT$3/60&gt;0,E93+0.5*calc!$AT$2/60&lt;0),TRUE()),INT(D93),"")</f>
        <v/>
      </c>
      <c r="I94" s="59" t="str">
        <f aca="false">IF(IF(AND(E94+0.5*calc!$AT$3/60&gt;0,E93+0.5*calc!$AT$2/60&lt;0),TRUE()),IF(D93=INT(D93),ROUND(-30*(E93+0.5*calc!$AT$2/60)/(-E93+E94),1),ROUND(30-30*(E93+0.5*calc!$AT$2/60)/(-E93+E94),1)),"")</f>
        <v/>
      </c>
      <c r="J94" s="2" t="str">
        <f aca="false">IF(IF(AND(E94+0.5*calc!$AT$3/60&lt;0,E93+0.5*calc!$AT$2/60&gt;0),TRUE()),INT(D93),"")</f>
        <v/>
      </c>
      <c r="K94" s="2" t="str">
        <f aca="false">IF(IF(AND(E94+0.5*calc!$AT$3/60&lt;0,E93+0.5*calc!$AT$2/60&gt;0),TRUE()),IF(D93=INT(D93),ROUND(30*(E93+0.5*calc!$AT$2/60)/(E93-E94),1),ROUND(30+30*(E93+0.5*calc!$AT$2/60)/(E93-E94),1)),"")</f>
        <v/>
      </c>
      <c r="L94" s="4" t="str">
        <f aca="false">IF(H94&lt;&gt;"",H94&amp;":"&amp;IF(I94&gt;=10,I94,"0"&amp;I94),"")</f>
        <v/>
      </c>
      <c r="M94" s="4" t="str">
        <f aca="false">IF(J94&lt;&gt;"",J94&amp;":"&amp;IF(K94&gt;=10,K94,"0"&amp;K94),"")</f>
        <v/>
      </c>
      <c r="N94" s="62" t="str">
        <f aca="false">IF(AND(E93&lt;E94,E95&lt;E94),D94+0.25*(E95-E93)/(2*E94-E93-E95),"")</f>
        <v/>
      </c>
      <c r="O94" s="6" t="str">
        <f aca="false">IF(N94&lt;&gt;"",INT(N94)&amp;":"&amp;IF(ROUND(60*MOD(D94+0.25*(E95-E93)/(2*E94-E93-E95),1),1)&gt;=10,ROUND(60*MOD(D94+0.25*(E95-E93)/(2*E94-E93-E95),1),1),"0"&amp;ROUND(60*MOD(D94+0.25*(E95-E93)/(2*E94-E93-E95),1),1)),"")</f>
        <v/>
      </c>
      <c r="P94" s="34" t="str">
        <f aca="false">IF(AND(F93&lt;180,F94&gt;180),D94-0.5*(F94-180)/(F94-F93),"")</f>
        <v/>
      </c>
      <c r="Q94" s="6" t="str">
        <f aca="false">IF(P94&lt;&gt;"",INT(P94)&amp;":"&amp;IF(ROUND(60*MOD(P94,1),1)&gt;=10,ROUND(60*MOD(P94,1),1),"0"&amp;ROUND(60*MOD(P94,1),1)),"")</f>
        <v/>
      </c>
      <c r="R94" s="4" t="n">
        <v>180</v>
      </c>
    </row>
    <row r="95" customFormat="false" ht="15" hidden="false" customHeight="false" outlineLevel="0" collapsed="false">
      <c r="D95" s="34" t="n">
        <v>46.5</v>
      </c>
      <c r="E95" s="39" t="n">
        <f aca="false">calc!$G$95</f>
        <v>22.3735938253224</v>
      </c>
      <c r="F95" s="26" t="n">
        <f aca="false">calc!$I$95</f>
        <v>241.708690003762</v>
      </c>
      <c r="H95" s="2" t="str">
        <f aca="false">IF(IF(AND(E95+0.5*calc!$AT$3/60&gt;0,E94+0.5*calc!$AT$2/60&lt;0),TRUE()),INT(D94),"")</f>
        <v/>
      </c>
      <c r="I95" s="59" t="str">
        <f aca="false">IF(IF(AND(E95+0.5*calc!$AT$3/60&gt;0,E94+0.5*calc!$AT$2/60&lt;0),TRUE()),IF(D94=INT(D94),ROUND(-30*(E94+0.5*calc!$AT$2/60)/(-E94+E95),1),ROUND(30-30*(E94+0.5*calc!$AT$2/60)/(-E94+E95),1)),"")</f>
        <v/>
      </c>
      <c r="J95" s="2" t="str">
        <f aca="false">IF(IF(AND(E95+0.5*calc!$AT$3/60&lt;0,E94+0.5*calc!$AT$2/60&gt;0),TRUE()),INT(D94),"")</f>
        <v/>
      </c>
      <c r="K95" s="2" t="str">
        <f aca="false">IF(IF(AND(E95+0.5*calc!$AT$3/60&lt;0,E94+0.5*calc!$AT$2/60&gt;0),TRUE()),IF(D94=INT(D94),ROUND(30*(E94+0.5*calc!$AT$2/60)/(E94-E95),1),ROUND(30+30*(E94+0.5*calc!$AT$2/60)/(E94-E95),1)),"")</f>
        <v/>
      </c>
      <c r="L95" s="4" t="str">
        <f aca="false">IF(H95&lt;&gt;"",H95&amp;":"&amp;IF(I95&gt;=10,I95,"0"&amp;I95),"")</f>
        <v/>
      </c>
      <c r="M95" s="4" t="str">
        <f aca="false">IF(J95&lt;&gt;"",J95&amp;":"&amp;IF(K95&gt;=10,K95,"0"&amp;K95),"")</f>
        <v/>
      </c>
      <c r="N95" s="62" t="str">
        <f aca="false">IF(AND(E94&lt;E95,E96&lt;E95),D95+0.25*(E96-E94)/(2*E95-E94-E96),"")</f>
        <v/>
      </c>
      <c r="O95" s="6" t="str">
        <f aca="false">IF(N95&lt;&gt;"",INT(N95)&amp;":"&amp;IF(ROUND(60*MOD(D95+0.25*(E96-E94)/(2*E95-E94-E96),1),1)&gt;=10,ROUND(60*MOD(D95+0.25*(E96-E94)/(2*E95-E94-E96),1),1),"0"&amp;ROUND(60*MOD(D95+0.25*(E96-E94)/(2*E95-E94-E96),1),1)),"")</f>
        <v/>
      </c>
      <c r="P95" s="34" t="str">
        <f aca="false">IF(AND(F94&lt;180,F95&gt;180),D95-0.5*(F95-180)/(F95-F94),"")</f>
        <v/>
      </c>
      <c r="Q95" s="6" t="str">
        <f aca="false">IF(P95&lt;&gt;"",INT(P95)&amp;":"&amp;IF(ROUND(60*MOD(P95,1),1)&gt;=10,ROUND(60*MOD(P95,1),1),"0"&amp;ROUND(60*MOD(P95,1),1)),"")</f>
        <v/>
      </c>
      <c r="R95" s="4" t="n">
        <v>180</v>
      </c>
    </row>
    <row r="96" customFormat="false" ht="15" hidden="false" customHeight="false" outlineLevel="0" collapsed="false">
      <c r="D96" s="34" t="n">
        <v>47</v>
      </c>
      <c r="E96" s="39" t="n">
        <f aca="false">calc!$G$96</f>
        <v>18.227182042693</v>
      </c>
      <c r="F96" s="26" t="n">
        <f aca="false">calc!$I$96</f>
        <v>248.131591914437</v>
      </c>
      <c r="H96" s="2" t="str">
        <f aca="false">IF(IF(AND(E96+0.5*calc!$AT$3/60&gt;0,E95+0.5*calc!$AT$2/60&lt;0),TRUE()),INT(D95),"")</f>
        <v/>
      </c>
      <c r="I96" s="59" t="str">
        <f aca="false">IF(IF(AND(E96+0.5*calc!$AT$3/60&gt;0,E95+0.5*calc!$AT$2/60&lt;0),TRUE()),IF(D95=INT(D95),ROUND(-30*(E95+0.5*calc!$AT$2/60)/(-E95+E96),1),ROUND(30-30*(E95+0.5*calc!$AT$2/60)/(-E95+E96),1)),"")</f>
        <v/>
      </c>
      <c r="J96" s="2" t="str">
        <f aca="false">IF(IF(AND(E96+0.5*calc!$AT$3/60&lt;0,E95+0.5*calc!$AT$2/60&gt;0),TRUE()),INT(D95),"")</f>
        <v/>
      </c>
      <c r="K96" s="2" t="str">
        <f aca="false">IF(IF(AND(E96+0.5*calc!$AT$3/60&lt;0,E95+0.5*calc!$AT$2/60&gt;0),TRUE()),IF(D95=INT(D95),ROUND(30*(E95+0.5*calc!$AT$2/60)/(E95-E96),1),ROUND(30+30*(E95+0.5*calc!$AT$2/60)/(E95-E96),1)),"")</f>
        <v/>
      </c>
      <c r="L96" s="4" t="str">
        <f aca="false">IF(H96&lt;&gt;"",H96&amp;":"&amp;IF(I96&gt;=10,I96,"0"&amp;I96),"")</f>
        <v/>
      </c>
      <c r="M96" s="4" t="str">
        <f aca="false">IF(J96&lt;&gt;"",J96&amp;":"&amp;IF(K96&gt;=10,K96,"0"&amp;K96),"")</f>
        <v/>
      </c>
      <c r="N96" s="62" t="str">
        <f aca="false">IF(AND(E95&lt;E96,E97&lt;E96),D96+0.25*(E97-E95)/(2*E96-E95-E97),"")</f>
        <v/>
      </c>
      <c r="O96" s="6" t="str">
        <f aca="false">IF(N96&lt;&gt;"",INT(N96)&amp;":"&amp;IF(ROUND(60*MOD(D96+0.25*(E97-E95)/(2*E96-E95-E97),1),1)&gt;=10,ROUND(60*MOD(D96+0.25*(E97-E95)/(2*E96-E95-E97),1),1),"0"&amp;ROUND(60*MOD(D96+0.25*(E97-E95)/(2*E96-E95-E97),1),1)),"")</f>
        <v/>
      </c>
      <c r="P96" s="34" t="str">
        <f aca="false">IF(AND(F95&lt;180,F96&gt;180),D96-0.5*(F96-180)/(F96-F95),"")</f>
        <v/>
      </c>
      <c r="Q96" s="6" t="str">
        <f aca="false">IF(P96&lt;&gt;"",INT(P96)&amp;":"&amp;IF(ROUND(60*MOD(P96,1),1)&gt;=10,ROUND(60*MOD(P96,1),1),"0"&amp;ROUND(60*MOD(P96,1),1)),"")</f>
        <v/>
      </c>
      <c r="R96" s="4" t="n">
        <v>180</v>
      </c>
    </row>
    <row r="97" customFormat="false" ht="15" hidden="false" customHeight="false" outlineLevel="0" collapsed="false">
      <c r="D97" s="34" t="n">
        <v>47.5</v>
      </c>
      <c r="E97" s="39" t="n">
        <f aca="false">calc!$G$97</f>
        <v>13.8972332448672</v>
      </c>
      <c r="F97" s="26" t="n">
        <f aca="false">calc!$I$97</f>
        <v>254.247864580311</v>
      </c>
      <c r="H97" s="2" t="str">
        <f aca="false">IF(IF(AND(E97+0.5*calc!$AT$3/60&gt;0,E96+0.5*calc!$AT$2/60&lt;0),TRUE()),INT(D96),"")</f>
        <v/>
      </c>
      <c r="I97" s="59" t="str">
        <f aca="false">IF(IF(AND(E97+0.5*calc!$AT$3/60&gt;0,E96+0.5*calc!$AT$2/60&lt;0),TRUE()),IF(D96=INT(D96),ROUND(-30*(E96+0.5*calc!$AT$2/60)/(-E96+E97),1),ROUND(30-30*(E96+0.5*calc!$AT$2/60)/(-E96+E97),1)),"")</f>
        <v/>
      </c>
      <c r="J97" s="2" t="str">
        <f aca="false">IF(IF(AND(E97+0.5*calc!$AT$3/60&lt;0,E96+0.5*calc!$AT$2/60&gt;0),TRUE()),INT(D96),"")</f>
        <v/>
      </c>
      <c r="K97" s="2" t="str">
        <f aca="false">IF(IF(AND(E97+0.5*calc!$AT$3/60&lt;0,E96+0.5*calc!$AT$2/60&gt;0),TRUE()),IF(D96=INT(D96),ROUND(30*(E96+0.5*calc!$AT$2/60)/(E96-E97),1),ROUND(30+30*(E96+0.5*calc!$AT$2/60)/(E96-E97),1)),"")</f>
        <v/>
      </c>
      <c r="L97" s="4" t="str">
        <f aca="false">IF(H97&lt;&gt;"",H97&amp;":"&amp;IF(I97&gt;=10,I97,"0"&amp;I97),"")</f>
        <v/>
      </c>
      <c r="M97" s="4" t="str">
        <f aca="false">IF(J97&lt;&gt;"",J97&amp;":"&amp;IF(K97&gt;=10,K97,"0"&amp;K97),"")</f>
        <v/>
      </c>
      <c r="N97" s="62" t="str">
        <f aca="false">IF(AND(E96&lt;E97,E98&lt;E97),D97+0.25*(E98-E96)/(2*E97-E96-E98),"")</f>
        <v/>
      </c>
      <c r="O97" s="6" t="str">
        <f aca="false">IF(N97&lt;&gt;"",INT(N97)&amp;":"&amp;IF(ROUND(60*MOD(D97+0.25*(E98-E96)/(2*E97-E96-E98),1),1)&gt;=10,ROUND(60*MOD(D97+0.25*(E98-E96)/(2*E97-E96-E98),1),1),"0"&amp;ROUND(60*MOD(D97+0.25*(E98-E96)/(2*E97-E96-E98),1),1)),"")</f>
        <v/>
      </c>
      <c r="P97" s="34" t="str">
        <f aca="false">IF(AND(F96&lt;180,F97&gt;180),D97-0.5*(F97-180)/(F97-F96),"")</f>
        <v/>
      </c>
      <c r="Q97" s="6" t="str">
        <f aca="false">IF(P97&lt;&gt;"",INT(P97)&amp;":"&amp;IF(ROUND(60*MOD(P97,1),1)&gt;=10,ROUND(60*MOD(P97,1),1),"0"&amp;ROUND(60*MOD(P97,1),1)),"")</f>
        <v/>
      </c>
      <c r="R97" s="4" t="n">
        <v>180</v>
      </c>
    </row>
    <row r="98" customFormat="false" ht="15" hidden="false" customHeight="false" outlineLevel="0" collapsed="false">
      <c r="D98" s="34" t="n">
        <v>48</v>
      </c>
      <c r="E98" s="39" t="n">
        <f aca="false">calc!$G$98</f>
        <v>9.45053891437179</v>
      </c>
      <c r="F98" s="26" t="n">
        <f aca="false">calc!$I$98</f>
        <v>260.136565908432</v>
      </c>
      <c r="H98" s="2" t="str">
        <f aca="false">IF(IF(AND(E98+0.5*calc!$AT$3/60&gt;0,E97+0.5*calc!$AT$2/60&lt;0),TRUE()),INT(D97),"")</f>
        <v/>
      </c>
      <c r="I98" s="59" t="str">
        <f aca="false">IF(IF(AND(E98+0.5*calc!$AT$3/60&gt;0,E97+0.5*calc!$AT$2/60&lt;0),TRUE()),IF(D97=INT(D97),ROUND(-30*(E97+0.5*calc!$AT$2/60)/(-E97+E98),1),ROUND(30-30*(E97+0.5*calc!$AT$2/60)/(-E97+E98),1)),"")</f>
        <v/>
      </c>
      <c r="J98" s="2" t="str">
        <f aca="false">IF(IF(AND(E98+0.5*calc!$AT$3/60&lt;0,E97+0.5*calc!$AT$2/60&gt;0),TRUE()),INT(D97),"")</f>
        <v/>
      </c>
      <c r="K98" s="2" t="str">
        <f aca="false">IF(IF(AND(E98+0.5*calc!$AT$3/60&lt;0,E97+0.5*calc!$AT$2/60&gt;0),TRUE()),IF(D97=INT(D97),ROUND(30*(E97+0.5*calc!$AT$2/60)/(E97-E98),1),ROUND(30+30*(E97+0.5*calc!$AT$2/60)/(E97-E98),1)),"")</f>
        <v/>
      </c>
      <c r="L98" s="4" t="str">
        <f aca="false">IF(H98&lt;&gt;"",H98&amp;":"&amp;IF(I98&gt;=10,I98,"0"&amp;I98),"")</f>
        <v/>
      </c>
      <c r="M98" s="4" t="str">
        <f aca="false">IF(J98&lt;&gt;"",J98&amp;":"&amp;IF(K98&gt;=10,K98,"0"&amp;K98),"")</f>
        <v/>
      </c>
      <c r="N98" s="62" t="str">
        <f aca="false">IF(AND(E97&lt;E98,E99&lt;E98),D98+0.25*(E99-E97)/(2*E98-E97-E99),"")</f>
        <v/>
      </c>
      <c r="O98" s="6" t="str">
        <f aca="false">IF(N98&lt;&gt;"",INT(N98)&amp;":"&amp;IF(ROUND(60*MOD(D98+0.25*(E99-E97)/(2*E98-E97-E99),1),1)&gt;=10,ROUND(60*MOD(D98+0.25*(E99-E97)/(2*E98-E97-E99),1),1),"0"&amp;ROUND(60*MOD(D98+0.25*(E99-E97)/(2*E98-E97-E99),1),1)),"")</f>
        <v/>
      </c>
      <c r="P98" s="34" t="str">
        <f aca="false">IF(AND(F97&lt;180,F98&gt;180),D98-0.5*(F98-180)/(F98-F97),"")</f>
        <v/>
      </c>
      <c r="Q98" s="6" t="str">
        <f aca="false">IF(P98&lt;&gt;"",INT(P98)&amp;":"&amp;IF(ROUND(60*MOD(P98,1),1)&gt;=10,ROUND(60*MOD(P98,1),1),"0"&amp;ROUND(60*MOD(P98,1),1)),"")</f>
        <v/>
      </c>
      <c r="R98" s="4" t="n">
        <v>180</v>
      </c>
    </row>
    <row r="99" customFormat="false" ht="15" hidden="false" customHeight="false" outlineLevel="0" collapsed="false">
      <c r="D99" s="34" t="n">
        <v>48.5</v>
      </c>
      <c r="E99" s="39" t="n">
        <f aca="false">calc!$G$99</f>
        <v>4.96768171498699</v>
      </c>
      <c r="F99" s="26" t="n">
        <f aca="false">calc!$I$99</f>
        <v>265.87551167859</v>
      </c>
      <c r="H99" s="2" t="str">
        <f aca="false">IF(IF(AND(E99+0.5*calc!$AT$3/60&gt;0,E98+0.5*calc!$AT$2/60&lt;0),TRUE()),INT(D98),"")</f>
        <v/>
      </c>
      <c r="I99" s="59" t="str">
        <f aca="false">IF(IF(AND(E99+0.5*calc!$AT$3/60&gt;0,E98+0.5*calc!$AT$2/60&lt;0),TRUE()),IF(D98=INT(D98),ROUND(-30*(E98+0.5*calc!$AT$2/60)/(-E98+E99),0),ROUND(30-30*(E98+0.5*calc!$AT$2/60)/(-E98+E99),0)),"")</f>
        <v/>
      </c>
      <c r="J99" s="2" t="str">
        <f aca="false">IF(IF(AND(E99+0.5*calc!$AT$3/60&lt;0,E98+0.5*calc!$AT$2/60&gt;0),TRUE()),INT(D98),"")</f>
        <v/>
      </c>
      <c r="K99" s="2" t="str">
        <f aca="false">IF(IF(AND(E99+0.5*calc!$AT$3/60&lt;0,E98+0.5*calc!$AT$2/60&gt;0),TRUE()),IF(D98=INT(D98),ROUND(30*(E98+0.5*calc!$AT$2/60)/(E98-E99),0),ROUND(30+30*(E98+0.5*calc!$AT$2/60)/(E98-E99),0)),"")</f>
        <v/>
      </c>
      <c r="L99" s="4" t="str">
        <f aca="false">IF(H99&lt;&gt;"",H99&amp;":"&amp;IF(I99&gt;=10,I99,"0"&amp;I99),"")</f>
        <v/>
      </c>
      <c r="M99" s="4" t="str">
        <f aca="false">IF(J99&lt;&gt;"",J99&amp;":"&amp;IF(K99&gt;=10,K99,"0"&amp;K99),"")</f>
        <v/>
      </c>
      <c r="O99" s="6" t="str">
        <f aca="false">IF(N99&lt;&gt;"",INT(N99)&amp;":"&amp;IF(ROUND(60*MOD(D99+0.25*(E100-E98)/(2*E99-E98-E100),1),1)&gt;=10,ROUND(60*MOD(D99+0.25*(E100-E98)/(2*E99-E98-E100),1),1),"0"&amp;ROUND(60*MOD(D99+0.25*(E100-E98)/(2*E99-E98-E100),1),1)),"")</f>
        <v/>
      </c>
      <c r="P99" s="34" t="str">
        <f aca="false">IF(AND(F98&lt;180,F99&gt;180),D99-0.5*(F99-180)/(F99-F98),"")</f>
        <v/>
      </c>
      <c r="Q99" s="6" t="str">
        <f aca="false">IF(P99&lt;&gt;"",INT(P99)&amp;":"&amp;IF(ROUND(60*MOD(P99,1),1)&gt;=10,ROUND(60*MOD(P99,1),1),"0"&amp;ROUND(60*MOD(P99,1),1)),"")</f>
        <v/>
      </c>
      <c r="R99" s="4" t="n">
        <v>180</v>
      </c>
    </row>
    <row r="100" customFormat="false" ht="15" hidden="false" customHeight="false" outlineLevel="0" collapsed="false">
      <c r="L100" s="10" t="s">
        <v>81</v>
      </c>
      <c r="M100" s="10" t="s">
        <v>37</v>
      </c>
      <c r="N100" s="10" t="s">
        <v>82</v>
      </c>
      <c r="O100" s="10" t="s">
        <v>82</v>
      </c>
      <c r="P100" s="11" t="s">
        <v>83</v>
      </c>
      <c r="Q100" s="11" t="s">
        <v>83</v>
      </c>
    </row>
    <row r="101" customFormat="false" ht="15" hidden="false" customHeight="false" outlineLevel="0" collapsed="false">
      <c r="L101" s="15" t="n">
        <f aca="false">MATCH(MIN(H2:H99),riseH,1)</f>
        <v>26</v>
      </c>
      <c r="M101" s="15" t="n">
        <f aca="false">MATCH(MIN(J2:J99),setH,1)</f>
        <v>49</v>
      </c>
      <c r="N101" s="6" t="n">
        <f aca="false">MATCH(MIN(N2:N98),culm,1)</f>
        <v>36</v>
      </c>
      <c r="O101" s="6" t="n">
        <f aca="false">MATCH(MAX(N2:N98),culm,1)</f>
        <v>86</v>
      </c>
      <c r="P101" s="18" t="n">
        <f aca="false">MATCH(MIN(P2:P98),trans,1)</f>
        <v>37</v>
      </c>
      <c r="Q101" s="18" t="n">
        <f aca="false">MATCH(MAX(P2:P99),trans,1)</f>
        <v>86</v>
      </c>
    </row>
    <row r="102" customFormat="false" ht="15" hidden="false" customHeight="false" outlineLevel="0" collapsed="false">
      <c r="B102" s="59" t="s">
        <v>21</v>
      </c>
      <c r="C102" s="6" t="s">
        <v>22</v>
      </c>
      <c r="D102" s="2" t="s">
        <v>23</v>
      </c>
      <c r="E102" s="4" t="s">
        <v>28</v>
      </c>
      <c r="I102" s="0"/>
      <c r="J102" s="0"/>
      <c r="K102" s="0"/>
      <c r="L102" s="10" t="str">
        <f aca="false">INDEX(riseUT,L101)</f>
        <v>12:28,4</v>
      </c>
      <c r="M102" s="8" t="str">
        <f aca="false">INDEX(setUT,M101)</f>
        <v>23:50,2</v>
      </c>
      <c r="N102" s="8" t="str">
        <f aca="false">INDEX(culmUT,N101)</f>
        <v>18:07,4</v>
      </c>
      <c r="O102" s="8" t="str">
        <f aca="false">INDEX(culmUT,O101)</f>
        <v>42:52,1</v>
      </c>
      <c r="P102" s="11" t="str">
        <f aca="false">INDEX(transUT,P101)</f>
        <v>18:02,1</v>
      </c>
      <c r="Q102" s="11" t="str">
        <f aca="false">INDEX(transUT,Q101)</f>
        <v>42:47,1</v>
      </c>
    </row>
    <row r="103" customFormat="false" ht="15" hidden="false" customHeight="false" outlineLevel="0" collapsed="false">
      <c r="A103" s="67" t="n">
        <f aca="false">L103</f>
        <v>12.4733333333333</v>
      </c>
      <c r="B103" s="68" t="n">
        <f aca="false">input!$A$2</f>
        <v>1</v>
      </c>
      <c r="C103" s="68" t="n">
        <f aca="false">input!$B$2</f>
        <v>12</v>
      </c>
      <c r="D103" s="69" t="n">
        <f aca="false">input!$C$2</f>
        <v>2022</v>
      </c>
      <c r="E103" s="4" t="n">
        <f aca="false">INT(365.25*IF(C103&gt;2,D103+4716,D103-1+4716))+INT(30.6001*IF(C103&gt;2,C103+1,C103+12+1))+B103+A103/24+2-INT(IF(C103&gt;2,D103,D103-1)/100)+INT(INT(IF(C103&gt;2,D103,D103-1)/100)/4)-1524.5</f>
        <v>2459915.01972222</v>
      </c>
      <c r="I103" s="0"/>
      <c r="J103" s="0"/>
      <c r="K103" s="0"/>
      <c r="L103" s="34" t="n">
        <f aca="false">INDEX(riseH,L101)+INDEX(riseMin,L101)/60</f>
        <v>12.4733333333333</v>
      </c>
      <c r="M103" s="34" t="n">
        <f aca="false">INDEX(setH,M101)+INDEX(setMin,M101)/60</f>
        <v>23.8366666666667</v>
      </c>
      <c r="N103" s="34" t="n">
        <f aca="false">INDEX(culm,N101)</f>
        <v>18.1236492295924</v>
      </c>
      <c r="O103" s="34" t="n">
        <f aca="false">INDEX(culm,O101)</f>
        <v>42.8683510365581</v>
      </c>
    </row>
    <row r="104" customFormat="false" ht="15" hidden="false" customHeight="false" outlineLevel="0" collapsed="false">
      <c r="M104" s="34" t="n">
        <f aca="false">M103-L103</f>
        <v>11.3633333333334</v>
      </c>
      <c r="O104" s="15"/>
    </row>
    <row r="105" customFormat="false" ht="15" hidden="false" customHeight="false" outlineLevel="0" collapsed="false">
      <c r="L105" s="6" t="n">
        <f aca="false">MATCH(MAX(H2:H99),riseH,1)</f>
        <v>75</v>
      </c>
      <c r="M105" s="6" t="n">
        <f aca="false">MATCH(MAX(J2:J99),setH,1)</f>
        <v>49</v>
      </c>
      <c r="O105" s="15"/>
    </row>
    <row r="106" customFormat="false" ht="15" hidden="false" customHeight="false" outlineLevel="0" collapsed="false">
      <c r="L106" s="8" t="str">
        <f aca="false">INDEX(riseUT,L105)</f>
        <v>36:43,8</v>
      </c>
      <c r="M106" s="8" t="str">
        <f aca="false">INDEX(setUT,M105)</f>
        <v>23:50,2</v>
      </c>
      <c r="O106" s="15"/>
    </row>
    <row r="107" customFormat="false" ht="15" hidden="false" customHeight="false" outlineLevel="0" collapsed="false">
      <c r="L107" s="6" t="n">
        <f aca="false">INDEX(riseH,L105)+INDEX(riseMin,L105)/60</f>
        <v>36.73</v>
      </c>
      <c r="M107" s="6" t="n">
        <f aca="false">INDEX(setH,M105)+INDEX(setMin,M105)/60</f>
        <v>23.8366666666667</v>
      </c>
      <c r="O107" s="15"/>
    </row>
    <row r="108" customFormat="false" ht="15" hidden="false" customHeight="false" outlineLevel="0" collapsed="false">
      <c r="O108" s="15"/>
    </row>
    <row r="109" customFormat="false" ht="15" hidden="false" customHeight="false" outlineLevel="0" collapsed="false">
      <c r="L109" s="52" t="n">
        <f aca="false">L107-24-L103</f>
        <v>0.256666666666664</v>
      </c>
      <c r="M109" s="1" t="n">
        <f aca="false">M107-24-M103</f>
        <v>-24</v>
      </c>
      <c r="O109" s="11" t="n">
        <f aca="false">O103-24-N103</f>
        <v>0.744701806965615</v>
      </c>
    </row>
    <row r="110" customFormat="false" ht="15" hidden="false" customHeight="false" outlineLevel="0" collapsed="false">
      <c r="L110" s="70" t="n">
        <f aca="false">L109*60</f>
        <v>15.3999999999999</v>
      </c>
      <c r="M110" s="8" t="n">
        <f aca="false">M109*60</f>
        <v>-1440</v>
      </c>
      <c r="O110" s="11" t="n">
        <f aca="false">O109*60</f>
        <v>44.6821084179369</v>
      </c>
    </row>
    <row r="111" customFormat="false" ht="15" hidden="false" customHeight="false" outlineLevel="0" collapsed="false">
      <c r="O111" s="15"/>
    </row>
    <row r="112" customFormat="false" ht="15" hidden="false" customHeight="false" outlineLevel="0" collapsed="false">
      <c r="M112" s="71" t="n">
        <f aca="false">M107-L103</f>
        <v>11.3633333333334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  <drawing r:id="rId1"/>
  <tableParts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53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E2" activeCellId="0" sqref="E2"/>
    </sheetView>
  </sheetViews>
  <sheetFormatPr defaultColWidth="9.625" defaultRowHeight="15" zeroHeight="false" outlineLevelRow="0" outlineLevelCol="0"/>
  <cols>
    <col collapsed="false" customWidth="false" hidden="false" outlineLevel="0" max="2" min="1" style="1" width="9.59"/>
    <col collapsed="false" customWidth="true" hidden="false" outlineLevel="0" max="3" min="3" style="1" width="10.83"/>
    <col collapsed="false" customWidth="false" hidden="false" outlineLevel="0" max="4" min="4" style="57" width="9.59"/>
    <col collapsed="false" customWidth="true" hidden="false" outlineLevel="0" max="5" min="5" style="4" width="12.29"/>
    <col collapsed="false" customWidth="false" hidden="false" outlineLevel="0" max="6" min="6" style="4" width="9.59"/>
    <col collapsed="false" customWidth="false" hidden="false" outlineLevel="0" max="7" min="7" style="72" width="9.59"/>
    <col collapsed="false" customWidth="false" hidden="false" outlineLevel="0" max="8" min="8" style="1" width="9.59"/>
    <col collapsed="false" customWidth="false" hidden="false" outlineLevel="0" max="9" min="9" style="67" width="9.59"/>
    <col collapsed="false" customWidth="false" hidden="false" outlineLevel="0" max="64" min="10" style="1" width="9.59"/>
  </cols>
  <sheetData>
    <row r="1" customFormat="false" ht="15" hidden="false" customHeight="false" outlineLevel="0" collapsed="false">
      <c r="A1" s="2" t="str">
        <f aca="false">calc!$B$1</f>
        <v>Date</v>
      </c>
      <c r="B1" s="2" t="str">
        <f aca="false">calc!$C$1</f>
        <v>Month</v>
      </c>
      <c r="C1" s="2" t="str">
        <f aca="false">calc!$D$1</f>
        <v>Year</v>
      </c>
      <c r="D1" s="61" t="str">
        <f aca="false">calc!$A$1</f>
        <v>UT</v>
      </c>
      <c r="E1" s="2" t="str">
        <f aca="false">calc!$AS$1</f>
        <v>R / km</v>
      </c>
      <c r="F1" s="2" t="str">
        <f aca="false">calc!$AE$1</f>
        <v>DEC</v>
      </c>
      <c r="G1" s="60" t="s">
        <v>86</v>
      </c>
      <c r="H1" s="60" t="s">
        <v>87</v>
      </c>
      <c r="I1" s="62" t="s">
        <v>88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" hidden="false" customHeight="false" outlineLevel="0" collapsed="false">
      <c r="A2" s="4" t="n">
        <f aca="false">calc!$B$2</f>
        <v>1</v>
      </c>
      <c r="B2" s="4" t="n">
        <f aca="false">calc!$C$2</f>
        <v>12</v>
      </c>
      <c r="C2" s="4" t="n">
        <f aca="false">calc!$D$2</f>
        <v>2022</v>
      </c>
      <c r="D2" s="34" t="n">
        <f aca="false">calc!$A$2</f>
        <v>0</v>
      </c>
      <c r="E2" s="73" t="n">
        <f aca="false">calc!$AS$2</f>
        <v>375495.904139444</v>
      </c>
      <c r="F2" s="63" t="n">
        <f aca="false">calc!$AE$2</f>
        <v>-10.54635757293</v>
      </c>
      <c r="G2" s="74" t="n">
        <f aca="false">calc!$AF$2</f>
        <v>23.1204796385858</v>
      </c>
      <c r="H2" s="75" t="n">
        <f aca="false">G2*15</f>
        <v>346.807194578788</v>
      </c>
      <c r="I2" s="63" t="n">
        <f aca="false">24*ACOS(-TAN(input!$D$2*PI()/180)*TAN(F2*PI()/180))/PI()</f>
        <v>10.2907676738643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customFormat="false" ht="15" hidden="false" customHeight="false" outlineLevel="0" collapsed="false">
      <c r="B3" s="76" t="s">
        <v>89</v>
      </c>
      <c r="D3" s="34" t="n">
        <f aca="false">calc!$A$3</f>
        <v>0.5</v>
      </c>
      <c r="E3" s="73" t="n">
        <f aca="false">calc!$AS$3</f>
        <v>375577.824584543</v>
      </c>
      <c r="F3" s="63" t="n">
        <f aca="false">calc!$AE$3</f>
        <v>-10.423054782889</v>
      </c>
      <c r="G3" s="74" t="n">
        <f aca="false">calc!$AF$3</f>
        <v>23.1379755348574</v>
      </c>
      <c r="H3" s="75" t="n">
        <f aca="false">G3*15</f>
        <v>347.069633022861</v>
      </c>
      <c r="I3" s="63" t="n">
        <f aca="false">24*ACOS(-TAN(input!$D$2*PI()/180)*TAN(F3*PI()/180))/PI()</f>
        <v>10.3115431658898</v>
      </c>
    </row>
    <row r="4" customFormat="false" ht="15" hidden="false" customHeight="false" outlineLevel="0" collapsed="false">
      <c r="A4" s="65" t="s">
        <v>84</v>
      </c>
      <c r="C4" s="5" t="str">
        <f aca="false">input!$C$3</f>
        <v>common year</v>
      </c>
      <c r="D4" s="34" t="n">
        <f aca="false">calc!$A$4</f>
        <v>1</v>
      </c>
      <c r="E4" s="73" t="n">
        <f aca="false">calc!$AS$4</f>
        <v>375659.787356169</v>
      </c>
      <c r="F4" s="63" t="n">
        <f aca="false">calc!$AE$4</f>
        <v>-10.2995916797777</v>
      </c>
      <c r="G4" s="74" t="n">
        <f aca="false">calc!$AF$4</f>
        <v>23.1554500441761</v>
      </c>
      <c r="H4" s="75" t="n">
        <f aca="false">G4*15</f>
        <v>347.331750662642</v>
      </c>
      <c r="I4" s="63" t="n">
        <f aca="false">24*ACOS(-TAN(input!$D$2*PI()/180)*TAN(F4*PI()/180))/PI()</f>
        <v>10.3323164984701</v>
      </c>
    </row>
    <row r="5" customFormat="false" ht="16.15" hidden="false" customHeight="false" outlineLevel="0" collapsed="false">
      <c r="A5" s="66" t="s">
        <v>85</v>
      </c>
      <c r="D5" s="34" t="n">
        <f aca="false">calc!$A$5</f>
        <v>1.5</v>
      </c>
      <c r="E5" s="73" t="n">
        <f aca="false">calc!$AS$5</f>
        <v>375741.790636409</v>
      </c>
      <c r="F5" s="63" t="n">
        <f aca="false">calc!$AE$5</f>
        <v>-10.1759712271626</v>
      </c>
      <c r="G5" s="74" t="n">
        <f aca="false">calc!$AF$5</f>
        <v>23.1729033477239</v>
      </c>
      <c r="H5" s="75" t="n">
        <f aca="false">G5*15</f>
        <v>347.593550215859</v>
      </c>
      <c r="I5" s="63" t="n">
        <f aca="false">24*ACOS(-TAN(input!$D$2*PI()/180)*TAN(F5*PI()/180))/PI()</f>
        <v>10.3530874797607</v>
      </c>
    </row>
    <row r="6" customFormat="false" ht="15" hidden="false" customHeight="false" outlineLevel="0" collapsed="false">
      <c r="D6" s="34" t="n">
        <f aca="false">calc!$A$6</f>
        <v>2</v>
      </c>
      <c r="E6" s="73" t="n">
        <f aca="false">calc!$AS$6</f>
        <v>375823.832616586</v>
      </c>
      <c r="F6" s="63" t="n">
        <f aca="false">calc!$AE$6</f>
        <v>-10.0521963845889</v>
      </c>
      <c r="G6" s="74" t="n">
        <f aca="false">calc!$AF$6</f>
        <v>23.1903356259203</v>
      </c>
      <c r="H6" s="75" t="n">
        <f aca="false">G6*15</f>
        <v>347.855034388805</v>
      </c>
      <c r="I6" s="63" t="n">
        <f aca="false">24*ACOS(-TAN(input!$D$2*PI()/180)*TAN(F6*PI()/180))/PI()</f>
        <v>10.3738559215083</v>
      </c>
    </row>
    <row r="7" customFormat="false" ht="15" hidden="false" customHeight="false" outlineLevel="0" collapsed="false">
      <c r="D7" s="34" t="n">
        <f aca="false">calc!$A$7</f>
        <v>2.5</v>
      </c>
      <c r="E7" s="73" t="n">
        <f aca="false">calc!$AS$7</f>
        <v>375905.911502753</v>
      </c>
      <c r="F7" s="63" t="n">
        <f aca="false">calc!$AE$7</f>
        <v>-9.92827009937895</v>
      </c>
      <c r="G7" s="74" t="n">
        <f aca="false">calc!$AF$7</f>
        <v>23.2077470595801</v>
      </c>
      <c r="H7" s="75" t="n">
        <f aca="false">G7*15</f>
        <v>348.116205893702</v>
      </c>
      <c r="I7" s="63" t="n">
        <f aca="false">24*ACOS(-TAN(input!$D$2*PI()/180)*TAN(F7*PI()/180))/PI()</f>
        <v>10.3946216403556</v>
      </c>
    </row>
    <row r="8" customFormat="false" ht="15" hidden="false" customHeight="false" outlineLevel="0" collapsed="false">
      <c r="D8" s="34" t="n">
        <f aca="false">calc!$A$8</f>
        <v>3</v>
      </c>
      <c r="E8" s="73" t="n">
        <f aca="false">calc!$AS$8</f>
        <v>375988.025521184</v>
      </c>
      <c r="F8" s="63" t="n">
        <f aca="false">calc!$AE$8</f>
        <v>-9.80419529837007</v>
      </c>
      <c r="G8" s="74" t="n">
        <f aca="false">calc!$AF$8</f>
        <v>23.2251378310606</v>
      </c>
      <c r="H8" s="75" t="n">
        <f aca="false">G8*15</f>
        <v>348.377067465908</v>
      </c>
      <c r="I8" s="63" t="n">
        <f aca="false">24*ACOS(-TAN(input!$D$2*PI()/180)*TAN(F8*PI()/180))/PI()</f>
        <v>10.415384459146</v>
      </c>
    </row>
    <row r="9" customFormat="false" ht="15" hidden="false" customHeight="false" outlineLevel="0" collapsed="false">
      <c r="D9" s="34" t="n">
        <f aca="false">calc!$A$9</f>
        <v>3.5</v>
      </c>
      <c r="E9" s="73" t="n">
        <f aca="false">calc!$AS$9</f>
        <v>376070.172907388</v>
      </c>
      <c r="F9" s="63" t="n">
        <f aca="false">calc!$AE$9</f>
        <v>-9.67997490460242</v>
      </c>
      <c r="G9" s="74" t="n">
        <f aca="false">calc!$AF$9</f>
        <v>23.2425081219081</v>
      </c>
      <c r="H9" s="75" t="n">
        <f aca="false">G9*15</f>
        <v>348.637621828622</v>
      </c>
      <c r="I9" s="63" t="n">
        <f aca="false">24*ACOS(-TAN(input!$D$2*PI()/180)*TAN(F9*PI()/180))/PI()</f>
        <v>10.4361442040522</v>
      </c>
    </row>
    <row r="10" customFormat="false" ht="15" hidden="false" customHeight="false" outlineLevel="0" collapsed="false">
      <c r="D10" s="34" t="n">
        <f aca="false">calc!$A$10</f>
        <v>4</v>
      </c>
      <c r="E10" s="73" t="n">
        <f aca="false">calc!$AS$10</f>
        <v>376152.351911617</v>
      </c>
      <c r="F10" s="63" t="n">
        <f aca="false">calc!$AE$10</f>
        <v>-9.55561182905612</v>
      </c>
      <c r="G10" s="74" t="n">
        <f aca="false">calc!$AF$10</f>
        <v>23.2598581140171</v>
      </c>
      <c r="H10" s="75" t="n">
        <f aca="false">G10*15</f>
        <v>348.897871710256</v>
      </c>
      <c r="I10" s="63" t="n">
        <f aca="false">24*ACOS(-TAN(input!$D$2*PI()/180)*TAN(F10*PI()/180))/PI()</f>
        <v>10.456900705888</v>
      </c>
    </row>
    <row r="11" customFormat="false" ht="15" hidden="false" customHeight="false" outlineLevel="0" collapsed="false">
      <c r="D11" s="34" t="n">
        <f aca="false">calc!$A$11</f>
        <v>4.5</v>
      </c>
      <c r="E11" s="73" t="n">
        <f aca="false">calc!$AS$11</f>
        <v>376234.560804371</v>
      </c>
      <c r="F11" s="63" t="n">
        <f aca="false">calc!$AE$11</f>
        <v>-9.43110896241214</v>
      </c>
      <c r="G11" s="74" t="n">
        <f aca="false">calc!$AF$11</f>
        <v>23.2771879907663</v>
      </c>
      <c r="H11" s="75" t="n">
        <f aca="false">G11*15</f>
        <v>349.157819861494</v>
      </c>
      <c r="I11" s="63" t="n">
        <f aca="false">24*ACOS(-TAN(input!$D$2*PI()/180)*TAN(F11*PI()/180))/PI()</f>
        <v>10.4776538014077</v>
      </c>
    </row>
    <row r="12" customFormat="false" ht="15" hidden="false" customHeight="false" outlineLevel="0" collapsed="false">
      <c r="D12" s="34" t="n">
        <f aca="false">calc!$A$12</f>
        <v>5</v>
      </c>
      <c r="E12" s="73" t="n">
        <f aca="false">calc!$AS$12</f>
        <v>376316.797865366</v>
      </c>
      <c r="F12" s="63" t="n">
        <f aca="false">calc!$AE$12</f>
        <v>-9.30646919174461</v>
      </c>
      <c r="G12" s="74" t="n">
        <f aca="false">calc!$AF$12</f>
        <v>23.2944979346854</v>
      </c>
      <c r="H12" s="75" t="n">
        <f aca="false">G12*15</f>
        <v>349.417469020281</v>
      </c>
      <c r="I12" s="63" t="n">
        <f aca="false">24*ACOS(-TAN(input!$D$2*PI()/180)*TAN(F12*PI()/180))/PI()</f>
        <v>10.4984033304473</v>
      </c>
    </row>
    <row r="13" customFormat="false" ht="15" hidden="false" customHeight="false" outlineLevel="0" collapsed="false">
      <c r="D13" s="34" t="n">
        <f aca="false">calc!$A$13</f>
        <v>5.5</v>
      </c>
      <c r="E13" s="73" t="n">
        <f aca="false">calc!$AS$13</f>
        <v>376399.061389053</v>
      </c>
      <c r="F13" s="63" t="n">
        <f aca="false">calc!$AE$13</f>
        <v>-9.18169539230728</v>
      </c>
      <c r="G13" s="74" t="n">
        <f aca="false">calc!$AF$13</f>
        <v>23.3117881285961</v>
      </c>
      <c r="H13" s="75" t="n">
        <f aca="false">G13*15</f>
        <v>349.676821928941</v>
      </c>
      <c r="I13" s="63" t="n">
        <f aca="false">24*ACOS(-TAN(input!$D$2*PI()/180)*TAN(F13*PI()/180))/PI()</f>
        <v>10.5191491372265</v>
      </c>
    </row>
    <row r="14" customFormat="false" ht="15" hidden="false" customHeight="false" outlineLevel="0" collapsed="false">
      <c r="D14" s="34" t="n">
        <f aca="false">calc!$A$14</f>
        <v>6</v>
      </c>
      <c r="E14" s="73" t="n">
        <f aca="false">calc!$AS$14</f>
        <v>376481.349690138</v>
      </c>
      <c r="F14" s="63" t="n">
        <f aca="false">calc!$AE$14</f>
        <v>-9.05679041919307</v>
      </c>
      <c r="G14" s="74" t="n">
        <f aca="false">calc!$AF$14</f>
        <v>23.32905875676</v>
      </c>
      <c r="H14" s="75" t="n">
        <f aca="false">G14*15</f>
        <v>349.9358813514</v>
      </c>
      <c r="I14" s="63" t="n">
        <f aca="false">24*ACOS(-TAN(input!$D$2*PI()/180)*TAN(F14*PI()/180))/PI()</f>
        <v>10.5398910716621</v>
      </c>
    </row>
    <row r="15" customFormat="false" ht="15" hidden="false" customHeight="false" outlineLevel="0" collapsed="false">
      <c r="D15" s="34" t="n">
        <f aca="false">calc!$A$15</f>
        <v>6.5</v>
      </c>
      <c r="E15" s="73" t="n">
        <f aca="false">calc!$AS$15</f>
        <v>376563.661092523</v>
      </c>
      <c r="F15" s="63" t="n">
        <f aca="false">calc!$AE$15</f>
        <v>-8.93175712414567</v>
      </c>
      <c r="G15" s="74" t="n">
        <f aca="false">calc!$AF$15</f>
        <v>23.3463100025419</v>
      </c>
      <c r="H15" s="75" t="n">
        <f aca="false">G15*15</f>
        <v>350.194650038128</v>
      </c>
      <c r="I15" s="63" t="n">
        <f aca="false">24*ACOS(-TAN(input!$D$2*PI()/180)*TAN(F15*PI()/180))/PI()</f>
        <v>10.5606289865034</v>
      </c>
    </row>
    <row r="16" customFormat="false" ht="15" hidden="false" customHeight="false" outlineLevel="0" collapsed="false">
      <c r="D16" s="34" t="n">
        <f aca="false">calc!$A$16</f>
        <v>7</v>
      </c>
      <c r="E16" s="73" t="n">
        <f aca="false">calc!$AS$16</f>
        <v>376645.993934827</v>
      </c>
      <c r="F16" s="63" t="n">
        <f aca="false">calc!$AE$16</f>
        <v>-8.80659834729083</v>
      </c>
      <c r="G16" s="74" t="n">
        <f aca="false">calc!$AF$16</f>
        <v>23.3635420495554</v>
      </c>
      <c r="H16" s="75" t="n">
        <f aca="false">G16*15</f>
        <v>350.453130743331</v>
      </c>
      <c r="I16" s="63" t="n">
        <f aca="false">24*ACOS(-TAN(input!$D$2*PI()/180)*TAN(F16*PI()/180))/PI()</f>
        <v>10.5813627386413</v>
      </c>
    </row>
    <row r="17" customFormat="false" ht="15" hidden="false" customHeight="false" outlineLevel="0" collapsed="false">
      <c r="D17" s="34" t="n">
        <f aca="false">calc!$A$17</f>
        <v>7.5</v>
      </c>
      <c r="E17" s="73" t="n">
        <f aca="false">calc!$AS$17</f>
        <v>376728.346575903</v>
      </c>
      <c r="F17" s="63" t="n">
        <f aca="false">calc!$AE$17</f>
        <v>-8.68131690875651</v>
      </c>
      <c r="G17" s="74" t="n">
        <f aca="false">calc!$AF$17</f>
        <v>23.3807550828078</v>
      </c>
      <c r="H17" s="75" t="n">
        <f aca="false">G17*15</f>
        <v>350.711326242117</v>
      </c>
      <c r="I17" s="63" t="n">
        <f aca="false">24*ACOS(-TAN(input!$D$2*PI()/180)*TAN(F17*PI()/180))/PI()</f>
        <v>10.6020921904255</v>
      </c>
    </row>
    <row r="18" customFormat="false" ht="15" hidden="false" customHeight="false" outlineLevel="0" collapsed="false">
      <c r="D18" s="34" t="n">
        <f aca="false">calc!$A$18</f>
        <v>8</v>
      </c>
      <c r="E18" s="73" t="n">
        <f aca="false">calc!$AS$18</f>
        <v>376810.717383779</v>
      </c>
      <c r="F18" s="63" t="n">
        <f aca="false">calc!$AE$18</f>
        <v>-8.55591562559025</v>
      </c>
      <c r="G18" s="74" t="n">
        <f aca="false">calc!$AF$18</f>
        <v>23.3979492863655</v>
      </c>
      <c r="H18" s="75" t="n">
        <f aca="false">G18*15</f>
        <v>350.969239295483</v>
      </c>
      <c r="I18" s="63" t="n">
        <f aca="false">24*ACOS(-TAN(input!$D$2*PI()/180)*TAN(F18*PI()/180))/PI()</f>
        <v>10.6228172067963</v>
      </c>
    </row>
    <row r="19" customFormat="false" ht="15" hidden="false" customHeight="false" outlineLevel="0" collapsed="false">
      <c r="D19" s="34" t="n">
        <f aca="false">calc!$A$19</f>
        <v>8.5</v>
      </c>
      <c r="E19" s="73" t="n">
        <f aca="false">calc!$AS$19</f>
        <v>376893.104741162</v>
      </c>
      <c r="F19" s="63" t="n">
        <f aca="false">calc!$AE$19</f>
        <v>-8.43039730342596</v>
      </c>
      <c r="G19" s="74" t="n">
        <f aca="false">calc!$AF$19</f>
        <v>23.4151248445027</v>
      </c>
      <c r="H19" s="75" t="n">
        <f aca="false">G19*15</f>
        <v>351.226872667541</v>
      </c>
      <c r="I19" s="63" t="n">
        <f aca="false">24*ACOS(-TAN(input!$D$2*PI()/180)*TAN(F19*PI()/180))/PI()</f>
        <v>10.6435376566014</v>
      </c>
    </row>
    <row r="20" customFormat="false" ht="15" hidden="false" customHeight="false" outlineLevel="0" collapsed="false">
      <c r="D20" s="34" t="n">
        <f aca="false">calc!$A$20</f>
        <v>9</v>
      </c>
      <c r="E20" s="73" t="n">
        <f aca="false">calc!$AS$20</f>
        <v>376975.507050943</v>
      </c>
      <c r="F20" s="63" t="n">
        <f aca="false">calc!$AE$20</f>
        <v>-8.30476472812959</v>
      </c>
      <c r="G20" s="74" t="n">
        <f aca="false">calc!$AF$20</f>
        <v>23.4322819428353</v>
      </c>
      <c r="H20" s="75" t="n">
        <f aca="false">G20*15</f>
        <v>351.48422914253</v>
      </c>
      <c r="I20" s="63" t="n">
        <f aca="false">24*ACOS(-TAN(input!$D$2*PI()/180)*TAN(F20*PI()/180))/PI()</f>
        <v>10.6642534139079</v>
      </c>
    </row>
    <row r="21" customFormat="false" ht="15" hidden="false" customHeight="false" outlineLevel="0" collapsed="false">
      <c r="D21" s="34" t="n">
        <f aca="false">calc!$A$21</f>
        <v>9.5</v>
      </c>
      <c r="E21" s="73" t="n">
        <f aca="false">calc!$AS$21</f>
        <v>377057.922725172</v>
      </c>
      <c r="F21" s="63" t="n">
        <f aca="false">calc!$AE$21</f>
        <v>-8.17902068269504</v>
      </c>
      <c r="G21" s="74" t="n">
        <f aca="false">calc!$AF$21</f>
        <v>23.4494207660078</v>
      </c>
      <c r="H21" s="75" t="n">
        <f aca="false">G21*15</f>
        <v>351.741311490117</v>
      </c>
      <c r="I21" s="63" t="n">
        <f aca="false">24*ACOS(-TAN(input!$D$2*PI()/180)*TAN(F21*PI()/180))/PI()</f>
        <v>10.6849643551495</v>
      </c>
    </row>
    <row r="22" customFormat="false" ht="15" hidden="false" customHeight="false" outlineLevel="0" collapsed="false">
      <c r="D22" s="34" t="n">
        <f aca="false">calc!$A$22</f>
        <v>10</v>
      </c>
      <c r="E22" s="73" t="n">
        <f aca="false">calc!$AS$22</f>
        <v>377140.350190512</v>
      </c>
      <c r="F22" s="63" t="n">
        <f aca="false">calc!$AE$22</f>
        <v>-8.05316793895265</v>
      </c>
      <c r="G22" s="74" t="n">
        <f aca="false">calc!$AF$22</f>
        <v>23.4665414988259</v>
      </c>
      <c r="H22" s="75" t="n">
        <f aca="false">G22*15</f>
        <v>351.998122482389</v>
      </c>
      <c r="I22" s="63" t="n">
        <f aca="false">24*ACOS(-TAN(input!$D$2*PI()/180)*TAN(F22*PI()/180))/PI()</f>
        <v>10.7056703604348</v>
      </c>
    </row>
    <row r="23" customFormat="false" ht="15" hidden="false" customHeight="false" outlineLevel="0" collapsed="false">
      <c r="D23" s="34" t="n">
        <f aca="false">calc!$A$23</f>
        <v>10.5</v>
      </c>
      <c r="E23" s="73" t="n">
        <f aca="false">calc!$AS$23</f>
        <v>377222.787893775</v>
      </c>
      <c r="F23" s="63" t="n">
        <f aca="false">calc!$AE$23</f>
        <v>-7.92720924917215</v>
      </c>
      <c r="G23" s="74" t="n">
        <f aca="false">calc!$AF$23</f>
        <v>23.483644327395</v>
      </c>
      <c r="H23" s="75" t="n">
        <f aca="false">G23*15</f>
        <v>352.254664910925</v>
      </c>
      <c r="I23" s="63" t="n">
        <f aca="false">24*ACOS(-TAN(input!$D$2*PI()/180)*TAN(F23*PI()/180))/PI()</f>
        <v>10.7263713148641</v>
      </c>
    </row>
    <row r="24" customFormat="false" ht="15" hidden="false" customHeight="false" outlineLevel="0" collapsed="false">
      <c r="D24" s="34" t="n">
        <f aca="false">calc!$A$24</f>
        <v>11</v>
      </c>
      <c r="E24" s="73" t="n">
        <f aca="false">calc!$AS$24</f>
        <v>377305.234290865</v>
      </c>
      <c r="F24" s="63" t="n">
        <f aca="false">calc!$AE$24</f>
        <v>-7.80114736302108</v>
      </c>
      <c r="G24" s="74" t="n">
        <f aca="false">calc!$AF$24</f>
        <v>23.500729436809</v>
      </c>
      <c r="H24" s="75" t="n">
        <f aca="false">G24*15</f>
        <v>352.510941552135</v>
      </c>
      <c r="I24" s="63" t="n">
        <f aca="false">24*ACOS(-TAN(input!$D$2*PI()/180)*TAN(F24*PI()/180))/PI()</f>
        <v>10.7470671056788</v>
      </c>
    </row>
    <row r="25" customFormat="false" ht="15" hidden="false" customHeight="false" outlineLevel="0" collapsed="false">
      <c r="D25" s="34" t="n">
        <f aca="false">calc!$A$25</f>
        <v>11.5</v>
      </c>
      <c r="E25" s="73" t="n">
        <f aca="false">calc!$AS$25</f>
        <v>377387.687852241</v>
      </c>
      <c r="F25" s="63" t="n">
        <f aca="false">calc!$AE$25</f>
        <v>-7.67498501923616</v>
      </c>
      <c r="G25" s="74" t="n">
        <f aca="false">calc!$AF$25</f>
        <v>23.517797012286</v>
      </c>
      <c r="H25" s="75" t="n">
        <f aca="false">G25*15</f>
        <v>352.76695518429</v>
      </c>
      <c r="I25" s="63" t="n">
        <f aca="false">24*ACOS(-TAN(input!$D$2*PI()/180)*TAN(F25*PI()/180))/PI()</f>
        <v>10.7677576235737</v>
      </c>
    </row>
    <row r="26" customFormat="false" ht="15" hidden="false" customHeight="false" outlineLevel="0" collapsed="false">
      <c r="D26" s="34" t="n">
        <f aca="false">calc!$A$26</f>
        <v>12</v>
      </c>
      <c r="E26" s="73" t="n">
        <f aca="false">calc!$AS$26</f>
        <v>377470.14706847</v>
      </c>
      <c r="F26" s="63" t="n">
        <f aca="false">calc!$AE$26</f>
        <v>-7.54872493718846</v>
      </c>
      <c r="G26" s="74" t="n">
        <f aca="false">calc!$AF$26</f>
        <v>23.5348472403039</v>
      </c>
      <c r="H26" s="75" t="n">
        <f aca="false">G26*15</f>
        <v>353.022708604558</v>
      </c>
      <c r="I26" s="63" t="n">
        <f aca="false">24*ACOS(-TAN(input!$D$2*PI()/180)*TAN(F26*PI()/180))/PI()</f>
        <v>10.7884427640183</v>
      </c>
    </row>
    <row r="27" customFormat="false" ht="15" hidden="false" customHeight="false" outlineLevel="0" collapsed="false">
      <c r="D27" s="34" t="n">
        <f aca="false">calc!$A$27</f>
        <v>12.5</v>
      </c>
      <c r="E27" s="73" t="n">
        <f aca="false">calc!$AS$27</f>
        <v>377552.610439101</v>
      </c>
      <c r="F27" s="63" t="n">
        <f aca="false">calc!$AE$27</f>
        <v>-7.42236983394381</v>
      </c>
      <c r="G27" s="74" t="n">
        <f aca="false">calc!$AF$27</f>
        <v>23.5518803062904</v>
      </c>
      <c r="H27" s="75" t="n">
        <f aca="false">G27*15</f>
        <v>353.278204594357</v>
      </c>
      <c r="I27" s="63" t="n">
        <f aca="false">24*ACOS(-TAN(input!$D$2*PI()/180)*TAN(F27*PI()/180))/PI()</f>
        <v>10.8091224244013</v>
      </c>
    </row>
    <row r="28" customFormat="false" ht="15" hidden="false" customHeight="false" outlineLevel="0" collapsed="false">
      <c r="D28" s="34" t="n">
        <f aca="false">calc!$A$28</f>
        <v>13</v>
      </c>
      <c r="E28" s="73" t="n">
        <f aca="false">calc!$AS$28</f>
        <v>377635.07647821</v>
      </c>
      <c r="F28" s="63" t="n">
        <f aca="false">calc!$AE$28</f>
        <v>-7.29592241586049</v>
      </c>
      <c r="G28" s="74" t="n">
        <f aca="false">calc!$AF$28</f>
        <v>23.5688963957632</v>
      </c>
      <c r="H28" s="75" t="n">
        <f aca="false">G28*15</f>
        <v>353.533445936447</v>
      </c>
      <c r="I28" s="63" t="n">
        <f aca="false">24*ACOS(-TAN(input!$D$2*PI()/180)*TAN(F28*PI()/180))/PI()</f>
        <v>10.8297965053522</v>
      </c>
    </row>
    <row r="29" customFormat="false" ht="15" hidden="false" customHeight="false" outlineLevel="0" collapsed="false">
      <c r="D29" s="34" t="n">
        <f aca="false">calc!$A$29</f>
        <v>13.5</v>
      </c>
      <c r="E29" s="73" t="n">
        <f aca="false">calc!$AS$29</f>
        <v>377717.543719868</v>
      </c>
      <c r="F29" s="63" t="n">
        <f aca="false">calc!$AE$29</f>
        <v>-7.16938537019576</v>
      </c>
      <c r="G29" s="74" t="n">
        <f aca="false">calc!$AF$29</f>
        <v>23.5858956954534</v>
      </c>
      <c r="H29" s="75" t="n">
        <f aca="false">G29*15</f>
        <v>353.788435431801</v>
      </c>
      <c r="I29" s="63" t="n">
        <f aca="false">24*ACOS(-TAN(input!$D$2*PI()/180)*TAN(F29*PI()/180))/PI()</f>
        <v>10.8504649120556</v>
      </c>
    </row>
    <row r="30" customFormat="false" ht="15" hidden="false" customHeight="false" outlineLevel="0" collapsed="false">
      <c r="D30" s="34" t="n">
        <f aca="false">calc!$A$30</f>
        <v>14</v>
      </c>
      <c r="E30" s="73" t="n">
        <f aca="false">calc!$AS$30</f>
        <v>377800.010707064</v>
      </c>
      <c r="F30" s="63" t="n">
        <f aca="false">calc!$AE$30</f>
        <v>-7.04276138212587</v>
      </c>
      <c r="G30" s="74" t="n">
        <f aca="false">calc!$AF$30</f>
        <v>23.6028783910175</v>
      </c>
      <c r="H30" s="75" t="n">
        <f aca="false">G30*15</f>
        <v>354.043175865263</v>
      </c>
      <c r="I30" s="63" t="n">
        <f aca="false">24*ACOS(-TAN(input!$D$2*PI()/180)*TAN(F30*PI()/180))/PI()</f>
        <v>10.8711275514121</v>
      </c>
    </row>
    <row r="31" customFormat="false" ht="15" hidden="false" customHeight="false" outlineLevel="0" collapsed="false">
      <c r="D31" s="34" t="n">
        <f aca="false">calc!$A$31</f>
        <v>14.5</v>
      </c>
      <c r="E31" s="73" t="n">
        <f aca="false">calc!$AS$31</f>
        <v>377882.475997228</v>
      </c>
      <c r="F31" s="63" t="n">
        <f aca="false">calc!$AE$31</f>
        <v>-6.91605312640049</v>
      </c>
      <c r="G31" s="74" t="n">
        <f aca="false">calc!$AF$31</f>
        <v>23.6198446681601</v>
      </c>
      <c r="H31" s="75" t="n">
        <f aca="false">G31*15</f>
        <v>354.297670022402</v>
      </c>
      <c r="I31" s="63" t="n">
        <f aca="false">24*ACOS(-TAN(input!$D$2*PI()/180)*TAN(F31*PI()/180))/PI()</f>
        <v>10.8917843333497</v>
      </c>
    </row>
    <row r="32" customFormat="false" ht="15" hidden="false" customHeight="false" outlineLevel="0" collapsed="false">
      <c r="D32" s="34" t="n">
        <f aca="false">calc!$A$32</f>
        <v>15</v>
      </c>
      <c r="E32" s="73" t="n">
        <f aca="false">calc!$AS$32</f>
        <v>377964.9381677</v>
      </c>
      <c r="F32" s="63" t="n">
        <f aca="false">calc!$AE$32</f>
        <v>-6.78926325889849</v>
      </c>
      <c r="G32" s="74" t="n">
        <f aca="false">calc!$AF$32</f>
        <v>23.6367947137634</v>
      </c>
      <c r="H32" s="75" t="n">
        <f aca="false">G32*15</f>
        <v>354.551920706451</v>
      </c>
      <c r="I32" s="63" t="n">
        <f aca="false">24*ACOS(-TAN(input!$D$2*PI()/180)*TAN(F32*PI()/180))/PI()</f>
        <v>10.9124351721445</v>
      </c>
    </row>
    <row r="33" customFormat="false" ht="15" hidden="false" customHeight="false" outlineLevel="0" collapsed="false">
      <c r="D33" s="34" t="n">
        <f aca="false">calc!$A$33</f>
        <v>15.5</v>
      </c>
      <c r="E33" s="73" t="n">
        <f aca="false">calc!$AS$33</f>
        <v>378047.395804642</v>
      </c>
      <c r="F33" s="63" t="n">
        <f aca="false">calc!$AE$33</f>
        <v>-6.66239443369368</v>
      </c>
      <c r="G33" s="74" t="n">
        <f aca="false">calc!$AF$33</f>
        <v>23.6537287136027</v>
      </c>
      <c r="H33" s="75" t="n">
        <f aca="false">G33*15</f>
        <v>354.80593070404</v>
      </c>
      <c r="I33" s="63" t="n">
        <f aca="false">24*ACOS(-TAN(input!$D$2*PI()/180)*TAN(F33*PI()/180))/PI()</f>
        <v>10.9330799835846</v>
      </c>
    </row>
    <row r="34" customFormat="false" ht="15" hidden="false" customHeight="false" outlineLevel="0" collapsed="false">
      <c r="D34" s="34" t="n">
        <f aca="false">calc!$A$34</f>
        <v>16</v>
      </c>
      <c r="E34" s="73" t="n">
        <f aca="false">calc!$AS$34</f>
        <v>378129.847508543</v>
      </c>
      <c r="F34" s="63" t="n">
        <f aca="false">calc!$AE$34</f>
        <v>-6.53544929469296</v>
      </c>
      <c r="G34" s="74" t="n">
        <f aca="false">calc!$AF$34</f>
        <v>23.6706468534676</v>
      </c>
      <c r="H34" s="75" t="n">
        <f aca="false">G34*15</f>
        <v>355.059702802014</v>
      </c>
      <c r="I34" s="63" t="n">
        <f aca="false">24*ACOS(-TAN(input!$D$2*PI()/180)*TAN(F34*PI()/180))/PI()</f>
        <v>10.9537186862827</v>
      </c>
    </row>
    <row r="35" customFormat="false" ht="15" hidden="false" customHeight="false" outlineLevel="0" collapsed="false">
      <c r="D35" s="34" t="n">
        <f aca="false">calc!$A$35</f>
        <v>16.5</v>
      </c>
      <c r="E35" s="73" t="n">
        <f aca="false">calc!$AS$35</f>
        <v>378212.291899719</v>
      </c>
      <c r="F35" s="63" t="n">
        <f aca="false">calc!$AE$35</f>
        <v>-6.40843046716947</v>
      </c>
      <c r="G35" s="74" t="n">
        <f aca="false">calc!$AF$35</f>
        <v>23.6875493202905</v>
      </c>
      <c r="H35" s="75" t="n">
        <f aca="false">G35*15</f>
        <v>355.313239804357</v>
      </c>
      <c r="I35" s="63" t="n">
        <f aca="false">24*ACOS(-TAN(input!$D$2*PI()/180)*TAN(F35*PI()/180))/PI()</f>
        <v>10.9743512029989</v>
      </c>
    </row>
    <row r="36" customFormat="false" ht="15" hidden="false" customHeight="false" outlineLevel="0" collapsed="false">
      <c r="D36" s="34" t="n">
        <f aca="false">calc!$A$36</f>
        <v>17</v>
      </c>
      <c r="E36" s="73" t="n">
        <f aca="false">calc!$AS$36</f>
        <v>378294.727607196</v>
      </c>
      <c r="F36" s="63" t="n">
        <f aca="false">calc!$AE$36</f>
        <v>-6.28134057489135</v>
      </c>
      <c r="G36" s="74" t="n">
        <f aca="false">calc!$AF$36</f>
        <v>23.7044362998627</v>
      </c>
      <c r="H36" s="75" t="n">
        <f aca="false">G36*15</f>
        <v>355.566544497941</v>
      </c>
      <c r="I36" s="63" t="n">
        <f aca="false">24*ACOS(-TAN(input!$D$2*PI()/180)*TAN(F36*PI()/180))/PI()</f>
        <v>10.9949774578046</v>
      </c>
    </row>
    <row r="37" customFormat="false" ht="15" hidden="false" customHeight="false" outlineLevel="0" collapsed="false">
      <c r="D37" s="34" t="n">
        <f aca="false">calc!$A$37</f>
        <v>17.5</v>
      </c>
      <c r="E37" s="73" t="n">
        <f aca="false">calc!$AS$37</f>
        <v>378377.153274218</v>
      </c>
      <c r="F37" s="63" t="n">
        <f aca="false">calc!$AE$37</f>
        <v>-6.15418223170381</v>
      </c>
      <c r="G37" s="74" t="n">
        <f aca="false">calc!$AF$37</f>
        <v>23.7213079779622</v>
      </c>
      <c r="H37" s="75" t="n">
        <f aca="false">G37*15</f>
        <v>355.819619669434</v>
      </c>
      <c r="I37" s="63" t="n">
        <f aca="false">24*ACOS(-TAN(input!$D$2*PI()/180)*TAN(F37*PI()/180))/PI()</f>
        <v>11.0155973774023</v>
      </c>
    </row>
    <row r="38" customFormat="false" ht="15" hidden="false" customHeight="false" outlineLevel="0" collapsed="false">
      <c r="D38" s="34" t="n">
        <f aca="false">calc!$A$38</f>
        <v>18</v>
      </c>
      <c r="E38" s="73" t="n">
        <f aca="false">calc!$AS$38</f>
        <v>378459.567563739</v>
      </c>
      <c r="F38" s="63" t="n">
        <f aca="false">calc!$AE$38</f>
        <v>-6.02695803308185</v>
      </c>
      <c r="G38" s="74" t="n">
        <f aca="false">calc!$AF$38</f>
        <v>23.7381645414714</v>
      </c>
      <c r="H38" s="75" t="n">
        <f aca="false">G38*15</f>
        <v>356.072468122071</v>
      </c>
      <c r="I38" s="63" t="n">
        <f aca="false">24*ACOS(-TAN(input!$D$2*PI()/180)*TAN(F38*PI()/180))/PI()</f>
        <v>11.036210892444</v>
      </c>
    </row>
    <row r="39" customFormat="false" ht="15" hidden="false" customHeight="false" outlineLevel="0" collapsed="false">
      <c r="D39" s="34" t="n">
        <f aca="false">calc!$A$39</f>
        <v>18.5</v>
      </c>
      <c r="E39" s="73" t="n">
        <f aca="false">calc!$AS$39</f>
        <v>378541.969147308</v>
      </c>
      <c r="F39" s="63" t="n">
        <f aca="false">calc!$AE$39</f>
        <v>-5.8996705732583</v>
      </c>
      <c r="G39" s="74" t="n">
        <f aca="false">calc!$AF$39</f>
        <v>23.7550061761082</v>
      </c>
      <c r="H39" s="75" t="n">
        <f aca="false">G39*15</f>
        <v>356.325092641623</v>
      </c>
      <c r="I39" s="63" t="n">
        <f aca="false">24*ACOS(-TAN(input!$D$2*PI()/180)*TAN(F39*PI()/180))/PI()</f>
        <v>11.0568179347048</v>
      </c>
    </row>
    <row r="40" customFormat="false" ht="15" hidden="false" customHeight="false" outlineLevel="0" collapsed="false">
      <c r="D40" s="34" t="n">
        <f aca="false">calc!$A$40</f>
        <v>19</v>
      </c>
      <c r="E40" s="73" t="n">
        <f aca="false">calc!$AS$40</f>
        <v>378624.356710569</v>
      </c>
      <c r="F40" s="63" t="n">
        <f aca="false">calc!$AE$40</f>
        <v>-5.77232243683785</v>
      </c>
      <c r="G40" s="74" t="n">
        <f aca="false">calc!$AF$40</f>
        <v>23.7718330675407</v>
      </c>
      <c r="H40" s="75" t="n">
        <f aca="false">G40*15</f>
        <v>356.577496013111</v>
      </c>
      <c r="I40" s="63" t="n">
        <f aca="false">24*ACOS(-TAN(input!$D$2*PI()/180)*TAN(F40*PI()/180))/PI()</f>
        <v>11.0774184383961</v>
      </c>
    </row>
    <row r="41" customFormat="false" ht="15" hidden="false" customHeight="false" outlineLevel="0" collapsed="false">
      <c r="D41" s="34" t="n">
        <f aca="false">calc!$A$41</f>
        <v>19.5</v>
      </c>
      <c r="E41" s="73" t="n">
        <f aca="false">calc!$AS$41</f>
        <v>378706.728958742</v>
      </c>
      <c r="F41" s="63" t="n">
        <f aca="false">calc!$AE$41</f>
        <v>-5.64491619027633</v>
      </c>
      <c r="G41" s="74" t="n">
        <f aca="false">calc!$AF$41</f>
        <v>23.7886454025149</v>
      </c>
      <c r="H41" s="75" t="n">
        <f aca="false">G41*15</f>
        <v>356.829681037723</v>
      </c>
      <c r="I41" s="63" t="n">
        <f aca="false">24*ACOS(-TAN(input!$D$2*PI()/180)*TAN(F41*PI()/180))/PI()</f>
        <v>11.0980123414943</v>
      </c>
    </row>
    <row r="42" customFormat="false" ht="15" hidden="false" customHeight="false" outlineLevel="0" collapsed="false">
      <c r="D42" s="34" t="n">
        <f aca="false">calc!$A$42</f>
        <v>20</v>
      </c>
      <c r="E42" s="73" t="n">
        <f aca="false">calc!$AS$42</f>
        <v>378789.084605535</v>
      </c>
      <c r="F42" s="63" t="n">
        <f aca="false">calc!$AE$42</f>
        <v>-5.51745439911868</v>
      </c>
      <c r="G42" s="74" t="n">
        <f aca="false">calc!$AF$42</f>
        <v>23.8054433665779</v>
      </c>
      <c r="H42" s="75" t="n">
        <f aca="false">G42*15</f>
        <v>357.081650498669</v>
      </c>
      <c r="I42" s="63" t="n">
        <f aca="false">24*ACOS(-TAN(input!$D$2*PI()/180)*TAN(F42*PI()/180))/PI()</f>
        <v>11.1185995829059</v>
      </c>
    </row>
    <row r="43" customFormat="false" ht="15" hidden="false" customHeight="false" outlineLevel="0" collapsed="false">
      <c r="D43" s="34" t="n">
        <f aca="false">calc!$A$43</f>
        <v>20.5</v>
      </c>
      <c r="E43" s="73" t="n">
        <f aca="false">calc!$AS$43</f>
        <v>378871.422378596</v>
      </c>
      <c r="F43" s="63" t="n">
        <f aca="false">calc!$AE$43</f>
        <v>-5.38993961951243</v>
      </c>
      <c r="G43" s="74" t="n">
        <f aca="false">calc!$AF$43</f>
        <v>23.8222271452042</v>
      </c>
      <c r="H43" s="75" t="n">
        <f aca="false">G43*15</f>
        <v>357.333407178062</v>
      </c>
      <c r="I43" s="63" t="n">
        <f aca="false">24*ACOS(-TAN(input!$D$2*PI()/180)*TAN(F43*PI()/180))/PI()</f>
        <v>11.1391801037952</v>
      </c>
    </row>
    <row r="44" customFormat="false" ht="15" hidden="false" customHeight="false" outlineLevel="0" collapsed="false">
      <c r="D44" s="34" t="n">
        <f aca="false">calc!$A$44</f>
        <v>21</v>
      </c>
      <c r="E44" s="73" t="n">
        <f aca="false">calc!$AS$44</f>
        <v>378953.741025024</v>
      </c>
      <c r="F44" s="63" t="n">
        <f aca="false">calc!$AE$44</f>
        <v>-5.26237438975557</v>
      </c>
      <c r="G44" s="74" t="n">
        <f aca="false">calc!$AF$44</f>
        <v>23.8389969249093</v>
      </c>
      <c r="H44" s="75" t="n">
        <f aca="false">G44*15</f>
        <v>357.58495387364</v>
      </c>
      <c r="I44" s="63" t="n">
        <f aca="false">24*ACOS(-TAN(input!$D$2*PI()/180)*TAN(F44*PI()/180))/PI()</f>
        <v>11.1597538489017</v>
      </c>
    </row>
    <row r="45" customFormat="false" ht="15" hidden="false" customHeight="false" outlineLevel="0" collapsed="false">
      <c r="D45" s="34" t="n">
        <f aca="false">calc!$A$45</f>
        <v>21.5</v>
      </c>
      <c r="E45" s="73" t="n">
        <f aca="false">calc!$AS$45</f>
        <v>379036.039300247</v>
      </c>
      <c r="F45" s="63" t="n">
        <f aca="false">calc!$AE$45</f>
        <v>-5.13476124749663</v>
      </c>
      <c r="G45" s="74" t="n">
        <f aca="false">calc!$AF$45</f>
        <v>23.8557528909875</v>
      </c>
      <c r="H45" s="75" t="n">
        <f aca="false">G45*15</f>
        <v>357.836293364812</v>
      </c>
      <c r="I45" s="63" t="n">
        <f aca="false">24*ACOS(-TAN(input!$D$2*PI()/180)*TAN(F45*PI()/180))/PI()</f>
        <v>11.1803207637183</v>
      </c>
    </row>
    <row r="46" customFormat="false" ht="15" hidden="false" customHeight="false" outlineLevel="0" collapsed="false">
      <c r="D46" s="34" t="n">
        <f aca="false">calc!$A$46</f>
        <v>22</v>
      </c>
      <c r="E46" s="73" t="n">
        <f aca="false">calc!$AS$46</f>
        <v>379118.315973508</v>
      </c>
      <c r="F46" s="63" t="n">
        <f aca="false">calc!$AE$46</f>
        <v>-5.00710272124842</v>
      </c>
      <c r="G46" s="74" t="n">
        <f aca="false">calc!$AF$46</f>
        <v>23.8724952286356</v>
      </c>
      <c r="H46" s="75" t="n">
        <f aca="false">G46*15</f>
        <v>358.087428429535</v>
      </c>
      <c r="I46" s="63" t="n">
        <f aca="false">24*ACOS(-TAN(input!$D$2*PI()/180)*TAN(F46*PI()/180))/PI()</f>
        <v>11.2008807958188</v>
      </c>
    </row>
    <row r="47" customFormat="false" ht="15" hidden="false" customHeight="false" outlineLevel="0" collapsed="false">
      <c r="D47" s="34" t="n">
        <f aca="false">calc!$A$47</f>
        <v>22.5</v>
      </c>
      <c r="E47" s="73" t="n">
        <f aca="false">calc!$AS$47</f>
        <v>379200.569833341</v>
      </c>
      <c r="F47" s="63" t="n">
        <f aca="false">calc!$AE$47</f>
        <v>-4.87940132198466</v>
      </c>
      <c r="G47" s="74" t="n">
        <f aca="false">calc!$AF$47</f>
        <v>23.8892241240536</v>
      </c>
      <c r="H47" s="75" t="n">
        <f aca="false">G47*15</f>
        <v>358.338361860804</v>
      </c>
      <c r="I47" s="63" t="n">
        <f aca="false">24*ACOS(-TAN(input!$D$2*PI()/180)*TAN(F47*PI()/180))/PI()</f>
        <v>11.2214338961659</v>
      </c>
    </row>
    <row r="48" customFormat="false" ht="15" hidden="false" customHeight="false" outlineLevel="0" collapsed="false">
      <c r="D48" s="34" t="n">
        <f aca="false">calc!$A$48</f>
        <v>23</v>
      </c>
      <c r="E48" s="73" t="n">
        <f aca="false">calc!$AS$48</f>
        <v>379282.799676465</v>
      </c>
      <c r="F48" s="63" t="n">
        <f aca="false">calc!$AE$48</f>
        <v>-4.75165956026549</v>
      </c>
      <c r="G48" s="74" t="n">
        <f aca="false">calc!$AF$48</f>
        <v>23.9059397622052</v>
      </c>
      <c r="H48" s="75" t="n">
        <f aca="false">G48*15</f>
        <v>358.589096433077</v>
      </c>
      <c r="I48" s="63" t="n">
        <f aca="false">24*ACOS(-TAN(input!$D$2*PI()/180)*TAN(F48*PI()/180))/PI()</f>
        <v>11.2419800163095</v>
      </c>
    </row>
    <row r="49" customFormat="false" ht="15" hidden="false" customHeight="false" outlineLevel="0" collapsed="false">
      <c r="D49" s="34" t="n">
        <f aca="false">calc!$A$49</f>
        <v>23.5</v>
      </c>
      <c r="E49" s="73" t="n">
        <f aca="false">calc!$AS$49</f>
        <v>379365.004313253</v>
      </c>
      <c r="F49" s="63" t="n">
        <f aca="false">calc!$AE$49</f>
        <v>-4.62387993785272</v>
      </c>
      <c r="G49" s="74" t="n">
        <f aca="false">calc!$AF$49</f>
        <v>23.9226423279197</v>
      </c>
      <c r="H49" s="75" t="n">
        <f aca="false">G49*15</f>
        <v>358.839634918795</v>
      </c>
      <c r="I49" s="63" t="n">
        <f aca="false">24*ACOS(-TAN(input!$D$2*PI()/180)*TAN(F49*PI()/180))/PI()</f>
        <v>11.2625191096965</v>
      </c>
    </row>
    <row r="50" customFormat="false" ht="15" hidden="false" customHeight="false" outlineLevel="0" collapsed="false">
      <c r="D50" s="34" t="n">
        <f aca="false">calc!$A$50</f>
        <v>24</v>
      </c>
      <c r="E50" s="73" t="n">
        <f aca="false">calc!$AS$50</f>
        <v>379447.182573205</v>
      </c>
      <c r="F50" s="63" t="n">
        <f aca="false">calc!$AE$50</f>
        <v>-4.49606493915941</v>
      </c>
      <c r="G50" s="74" t="n">
        <f aca="false">calc!$AF$50</f>
        <v>23.939332007014</v>
      </c>
      <c r="H50" s="75" t="n">
        <f aca="false">G50*15</f>
        <v>359.089980105209</v>
      </c>
      <c r="I50" s="63" t="n">
        <f aca="false">24*ACOS(-TAN(input!$D$2*PI()/180)*TAN(F50*PI()/180))/PI()</f>
        <v>11.2830511330015</v>
      </c>
    </row>
    <row r="52" customFormat="false" ht="15" hidden="false" customHeight="false" outlineLevel="0" collapsed="false">
      <c r="D52" s="57" t="s">
        <v>75</v>
      </c>
      <c r="E52" s="77" t="n">
        <f aca="false">calc!$AS$101</f>
        <v>379447.182573205</v>
      </c>
    </row>
    <row r="53" customFormat="false" ht="15" hidden="false" customHeight="false" outlineLevel="0" collapsed="false">
      <c r="D53" s="57" t="s">
        <v>76</v>
      </c>
      <c r="E53" s="77" t="n">
        <f aca="false">calc!$AS$102</f>
        <v>375495.904139444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0"/>
  <sheetViews>
    <sheetView showFormulas="false" showGridLines="true" showRowColHeaders="true" showZeros="true" rightToLeft="false" tabSelected="false" showOutlineSymbols="true" defaultGridColor="true" view="normal" topLeftCell="E4" colorId="64" zoomScale="100" zoomScaleNormal="100" zoomScalePageLayoutView="100" workbookViewId="0">
      <selection pane="topLeft" activeCell="T61" activeCellId="0" sqref="T61"/>
    </sheetView>
  </sheetViews>
  <sheetFormatPr defaultColWidth="9.625" defaultRowHeight="15" zeroHeight="false" outlineLevelRow="0" outlineLevelCol="0"/>
  <cols>
    <col collapsed="false" customWidth="false" hidden="false" outlineLevel="0" max="2" min="1" style="1" width="9.59"/>
    <col collapsed="false" customWidth="true" hidden="false" outlineLevel="0" max="3" min="3" style="1" width="10.94"/>
    <col collapsed="false" customWidth="false" hidden="false" outlineLevel="0" max="4" min="4" style="57" width="9.59"/>
    <col collapsed="false" customWidth="false" hidden="false" outlineLevel="0" max="5" min="5" style="4" width="9.59"/>
    <col collapsed="false" customWidth="false" hidden="false" outlineLevel="0" max="6" min="6" style="72" width="9.59"/>
    <col collapsed="false" customWidth="true" hidden="false" outlineLevel="0" max="7" min="7" style="78" width="12.18"/>
    <col collapsed="false" customWidth="false" hidden="false" outlineLevel="0" max="8" min="8" style="78" width="9.59"/>
    <col collapsed="false" customWidth="false" hidden="false" outlineLevel="0" max="9" min="9" style="57" width="9.59"/>
    <col collapsed="false" customWidth="true" hidden="false" outlineLevel="0" max="64" min="10" style="1" width="7.33"/>
  </cols>
  <sheetData>
    <row r="1" customFormat="false" ht="15" hidden="false" customHeight="false" outlineLevel="0" collapsed="false">
      <c r="A1" s="2" t="str">
        <f aca="false">input!$A$1</f>
        <v>Date:</v>
      </c>
      <c r="B1" s="2" t="str">
        <f aca="false">input!$B$1</f>
        <v>Month:</v>
      </c>
      <c r="C1" s="2" t="str">
        <f aca="false">input!$C$1</f>
        <v>Year:</v>
      </c>
      <c r="D1" s="61" t="str">
        <f aca="false">calc!$A$1</f>
        <v>UT</v>
      </c>
      <c r="E1" s="2" t="str">
        <f aca="false">calc!$W$1</f>
        <v>Lm</v>
      </c>
      <c r="F1" s="60" t="s">
        <v>90</v>
      </c>
      <c r="G1" s="79" t="str">
        <f aca="false">calc!$X$1</f>
        <v>Bmoon</v>
      </c>
      <c r="H1" s="79" t="s">
        <v>91</v>
      </c>
      <c r="I1" s="61" t="str">
        <f aca="false">calc!$AL$1</f>
        <v>Lsun</v>
      </c>
    </row>
    <row r="2" customFormat="false" ht="15" hidden="false" customHeight="false" outlineLevel="0" collapsed="false">
      <c r="A2" s="4" t="n">
        <f aca="false">input!$A$2</f>
        <v>1</v>
      </c>
      <c r="B2" s="4" t="n">
        <f aca="false">input!$B$2</f>
        <v>12</v>
      </c>
      <c r="C2" s="4" t="n">
        <f aca="false">input!$C$2</f>
        <v>2022</v>
      </c>
      <c r="D2" s="34" t="n">
        <f aca="false">calc!$A$2</f>
        <v>0</v>
      </c>
      <c r="E2" s="63" t="n">
        <f aca="false">calc!$W$2</f>
        <v>343.768043975242</v>
      </c>
      <c r="G2" s="45" t="n">
        <f aca="false">calc!$X$2</f>
        <v>-0.0787730327072318</v>
      </c>
      <c r="H2" s="80" t="n">
        <f aca="false">G2*2*PI()</f>
        <v>-0.494945561708056</v>
      </c>
      <c r="I2" s="34" t="n">
        <f aca="false">calc!$AL$2</f>
        <v>249.842053009017</v>
      </c>
    </row>
    <row r="3" customFormat="false" ht="15" hidden="false" customHeight="false" outlineLevel="0" collapsed="false">
      <c r="D3" s="34" t="n">
        <f aca="false">calc!$A$3</f>
        <v>0.5</v>
      </c>
      <c r="E3" s="63" t="n">
        <f aca="false">calc!$W$3</f>
        <v>344.054621112016</v>
      </c>
      <c r="F3" s="81" t="n">
        <f aca="false">2*(E3-E2)</f>
        <v>0.573154273546948</v>
      </c>
      <c r="G3" s="32" t="n">
        <f aca="false">calc!$X$3</f>
        <v>-0.0785405795171895</v>
      </c>
      <c r="H3" s="80" t="n">
        <f aca="false">G3*2*PI()</f>
        <v>-0.493485015239775</v>
      </c>
      <c r="I3" s="34" t="n">
        <f aca="false">calc!$AL$3</f>
        <v>249.862587329251</v>
      </c>
    </row>
    <row r="4" customFormat="false" ht="15" hidden="false" customHeight="false" outlineLevel="0" collapsed="false">
      <c r="A4" s="65" t="s">
        <v>84</v>
      </c>
      <c r="C4" s="5" t="str">
        <f aca="false">calc!$E$9</f>
        <v>common year</v>
      </c>
      <c r="D4" s="34" t="n">
        <f aca="false">calc!$A$4</f>
        <v>1</v>
      </c>
      <c r="E4" s="63" t="n">
        <f aca="false">calc!$W$4</f>
        <v>344.341064211419</v>
      </c>
      <c r="F4" s="81" t="n">
        <f aca="false">2*(E4-E3)</f>
        <v>0.572886198807055</v>
      </c>
      <c r="G4" s="32" t="n">
        <f aca="false">calc!$X$4</f>
        <v>-0.0783062733556495</v>
      </c>
      <c r="H4" s="80" t="n">
        <f aca="false">G4*2*PI()</f>
        <v>-0.492012826208205</v>
      </c>
      <c r="I4" s="34" t="n">
        <f aca="false">calc!$AL$4</f>
        <v>249.883121649025</v>
      </c>
    </row>
    <row r="5" customFormat="false" ht="16.15" hidden="false" customHeight="false" outlineLevel="0" collapsed="false">
      <c r="A5" s="66" t="s">
        <v>85</v>
      </c>
      <c r="D5" s="34" t="n">
        <f aca="false">calc!$A$5</f>
        <v>1.5</v>
      </c>
      <c r="E5" s="63" t="n">
        <f aca="false">calc!$W$5</f>
        <v>344.627373370998</v>
      </c>
      <c r="F5" s="81" t="n">
        <f aca="false">2*(E5-E4)</f>
        <v>0.572618319156959</v>
      </c>
      <c r="G5" s="32" t="n">
        <f aca="false">calc!$X$5</f>
        <v>-0.0780701225308794</v>
      </c>
      <c r="H5" s="80" t="n">
        <f aca="false">G5*2*PI()</f>
        <v>-0.490529046815732</v>
      </c>
      <c r="I5" s="34" t="n">
        <f aca="false">calc!$AL$5</f>
        <v>249.903655969261</v>
      </c>
    </row>
    <row r="6" customFormat="false" ht="15" hidden="false" customHeight="false" outlineLevel="0" collapsed="false">
      <c r="D6" s="34" t="n">
        <f aca="false">calc!$A$6</f>
        <v>2</v>
      </c>
      <c r="E6" s="63" t="n">
        <f aca="false">calc!$W$6</f>
        <v>344.913548672911</v>
      </c>
      <c r="F6" s="81" t="n">
        <f aca="false">2*(E6-E5)</f>
        <v>0.572350603826521</v>
      </c>
      <c r="G6" s="32" t="n">
        <f aca="false">calc!$X$6</f>
        <v>-0.077832135392593</v>
      </c>
      <c r="H6" s="80" t="n">
        <f aca="false">G6*2*PI()</f>
        <v>-0.489033729525153</v>
      </c>
      <c r="I6" s="34" t="n">
        <f aca="false">calc!$AL$6</f>
        <v>249.924190289496</v>
      </c>
    </row>
    <row r="7" customFormat="false" ht="15" hidden="false" customHeight="false" outlineLevel="0" collapsed="false">
      <c r="D7" s="34" t="n">
        <f aca="false">calc!$A$7</f>
        <v>2.5</v>
      </c>
      <c r="E7" s="63" t="n">
        <f aca="false">calc!$W$7</f>
        <v>345.199590203119</v>
      </c>
      <c r="F7" s="81" t="n">
        <f aca="false">2*(E7-E6)</f>
        <v>0.572083060415821</v>
      </c>
      <c r="G7" s="32" t="n">
        <f aca="false">calc!$X$7</f>
        <v>-0.0775923203161615</v>
      </c>
      <c r="H7" s="80" t="n">
        <f aca="false">G7*2*PI()</f>
        <v>-0.487526926960478</v>
      </c>
      <c r="I7" s="34" t="n">
        <f aca="false">calc!$AL$7</f>
        <v>249.944724609271</v>
      </c>
    </row>
    <row r="8" customFormat="false" ht="15" hidden="false" customHeight="false" outlineLevel="0" collapsed="false">
      <c r="D8" s="34" t="n">
        <f aca="false">calc!$A$8</f>
        <v>3</v>
      </c>
      <c r="E8" s="63" t="n">
        <f aca="false">calc!$W$8</f>
        <v>345.485498070498</v>
      </c>
      <c r="F8" s="81" t="n">
        <f aca="false">2*(E8-E7)</f>
        <v>0.571815734757024</v>
      </c>
      <c r="G8" s="32" t="n">
        <f aca="false">calc!$X$8</f>
        <v>-0.0773506856859555</v>
      </c>
      <c r="H8" s="80" t="n">
        <f aca="false">G8*2*PI()</f>
        <v>-0.486008691802262</v>
      </c>
      <c r="I8" s="34" t="n">
        <f aca="false">calc!$AL$8</f>
        <v>249.965258929507</v>
      </c>
    </row>
    <row r="9" customFormat="false" ht="15" hidden="false" customHeight="false" outlineLevel="0" collapsed="false">
      <c r="D9" s="34" t="n">
        <f aca="false">calc!$A$9</f>
        <v>3.5</v>
      </c>
      <c r="E9" s="63" t="n">
        <f aca="false">calc!$W$9</f>
        <v>345.771272368413</v>
      </c>
      <c r="F9" s="81" t="n">
        <f aca="false">2*(E9-E8)</f>
        <v>0.571548595829881</v>
      </c>
      <c r="G9" s="32" t="n">
        <f aca="false">calc!$X$9</f>
        <v>-0.0771072399270888</v>
      </c>
      <c r="H9" s="80" t="n">
        <f aca="false">G9*2*PI()</f>
        <v>-0.484479076987056</v>
      </c>
      <c r="I9" s="34" t="n">
        <f aca="false">calc!$AL$9</f>
        <v>249.985793249738</v>
      </c>
    </row>
    <row r="10" customFormat="false" ht="15" hidden="false" customHeight="false" outlineLevel="0" collapsed="false">
      <c r="D10" s="34" t="n">
        <f aca="false">calc!$A$10</f>
        <v>4</v>
      </c>
      <c r="E10" s="63" t="n">
        <f aca="false">calc!$W$10</f>
        <v>346.056913193961</v>
      </c>
      <c r="F10" s="81" t="n">
        <f aca="false">2*(E10-E9)</f>
        <v>0.571281651096342</v>
      </c>
      <c r="G10" s="32" t="n">
        <f aca="false">calc!$X$10</f>
        <v>-0.0768619914892252</v>
      </c>
      <c r="H10" s="80" t="n">
        <f aca="false">G10*2*PI()</f>
        <v>-0.482938135605662</v>
      </c>
      <c r="I10" s="34" t="n">
        <f aca="false">calc!$AL$10</f>
        <v>250.006327569516</v>
      </c>
    </row>
    <row r="11" customFormat="false" ht="15" hidden="false" customHeight="false" outlineLevel="0" collapsed="false">
      <c r="D11" s="34" t="n">
        <f aca="false">calc!$A$11</f>
        <v>4.5</v>
      </c>
      <c r="E11" s="63" t="n">
        <f aca="false">calc!$W$11</f>
        <v>346.342420666936</v>
      </c>
      <c r="F11" s="81" t="n">
        <f aca="false">2*(E11-E10)</f>
        <v>0.571014945950424</v>
      </c>
      <c r="G11" s="32" t="n">
        <f aca="false">calc!$X$11</f>
        <v>-0.0766149488295606</v>
      </c>
      <c r="H11" s="80" t="n">
        <f aca="false">G11*2*PI()</f>
        <v>-0.481385920796211</v>
      </c>
      <c r="I11" s="34" t="n">
        <f aca="false">calc!$AL$11</f>
        <v>250.02686188975</v>
      </c>
    </row>
    <row r="12" customFormat="false" ht="15" hidden="false" customHeight="false" outlineLevel="0" collapsed="false">
      <c r="D12" s="34" t="n">
        <f aca="false">calc!$A$12</f>
        <v>5</v>
      </c>
      <c r="E12" s="63" t="n">
        <f aca="false">calc!$W$12</f>
        <v>346.627794891624</v>
      </c>
      <c r="F12" s="81" t="n">
        <f aca="false">2*(E12-E11)</f>
        <v>0.57074844937631</v>
      </c>
      <c r="G12" s="32" t="n">
        <f aca="false">calc!$X$12</f>
        <v>-0.0763661204454326</v>
      </c>
      <c r="H12" s="80" t="n">
        <f aca="false">G12*2*PI()</f>
        <v>-0.479822485949049</v>
      </c>
      <c r="I12" s="34" t="n">
        <f aca="false">calc!$AL$12</f>
        <v>250.047396209984</v>
      </c>
    </row>
    <row r="13" customFormat="false" ht="15" hidden="false" customHeight="false" outlineLevel="0" collapsed="false">
      <c r="D13" s="34" t="n">
        <f aca="false">calc!$A$13</f>
        <v>5.5</v>
      </c>
      <c r="E13" s="63" t="n">
        <f aca="false">calc!$W$13</f>
        <v>346.913035975798</v>
      </c>
      <c r="F13" s="81" t="n">
        <f aca="false">2*(E13-E12)</f>
        <v>0.570482168348235</v>
      </c>
      <c r="G13" s="32" t="n">
        <f aca="false">calc!$X$13</f>
        <v>-0.0761155148575807</v>
      </c>
      <c r="H13" s="80" t="n">
        <f aca="false">G13*2*PI()</f>
        <v>-0.478247884601561</v>
      </c>
      <c r="I13" s="34" t="n">
        <f aca="false">calc!$AL$13</f>
        <v>250.06793052976</v>
      </c>
    </row>
    <row r="14" customFormat="false" ht="15" hidden="false" customHeight="false" outlineLevel="0" collapsed="false">
      <c r="D14" s="34" t="n">
        <f aca="false">calc!$A$14</f>
        <v>6</v>
      </c>
      <c r="E14" s="63" t="n">
        <f aca="false">calc!$W$14</f>
        <v>347.198144049885</v>
      </c>
      <c r="F14" s="81" t="n">
        <f aca="false">2*(E14-E13)</f>
        <v>0.570216148173131</v>
      </c>
      <c r="G14" s="32" t="n">
        <f aca="false">calc!$X$14</f>
        <v>-0.0758631405929675</v>
      </c>
      <c r="H14" s="80" t="n">
        <f aca="false">G14*2*PI()</f>
        <v>-0.476662170330233</v>
      </c>
      <c r="I14" s="34" t="n">
        <f aca="false">calc!$AL$14</f>
        <v>250.088464849994</v>
      </c>
    </row>
    <row r="15" customFormat="false" ht="15" hidden="false" customHeight="false" outlineLevel="0" collapsed="false">
      <c r="D15" s="34" t="n">
        <f aca="false">calc!$A$15</f>
        <v>6.5</v>
      </c>
      <c r="E15" s="63" t="n">
        <f aca="false">calc!$W$15</f>
        <v>347.483119228627</v>
      </c>
      <c r="F15" s="81" t="n">
        <f aca="false">2*(E15-E14)</f>
        <v>0.569950357485141</v>
      </c>
      <c r="G15" s="32" t="n">
        <f aca="false">calc!$X$15</f>
        <v>-0.0756090062178921</v>
      </c>
      <c r="H15" s="80" t="n">
        <f aca="false">G15*2*PI()</f>
        <v>-0.475065396958709</v>
      </c>
      <c r="I15" s="34" t="n">
        <f aca="false">calc!$AL$15</f>
        <v>250.108999170228</v>
      </c>
    </row>
    <row r="16" customFormat="false" ht="15" hidden="false" customHeight="false" outlineLevel="0" collapsed="false">
      <c r="D16" s="34" t="n">
        <f aca="false">calc!$A$16</f>
        <v>7</v>
      </c>
      <c r="E16" s="63" t="n">
        <f aca="false">calc!$W$16</f>
        <v>347.767961630172</v>
      </c>
      <c r="F16" s="81" t="n">
        <f aca="false">2*(E16-E15)</f>
        <v>0.569684803089331</v>
      </c>
      <c r="G16" s="32" t="n">
        <f aca="false">calc!$X$16</f>
        <v>-0.0753531203211843</v>
      </c>
      <c r="H16" s="80" t="n">
        <f aca="false">G16*2*PI()</f>
        <v>-0.473457618452201</v>
      </c>
      <c r="I16" s="34" t="n">
        <f aca="false">calc!$AL$16</f>
        <v>250.129533490002</v>
      </c>
    </row>
    <row r="17" customFormat="false" ht="15" hidden="false" customHeight="false" outlineLevel="0" collapsed="false">
      <c r="D17" s="34" t="n">
        <f aca="false">calc!$A$17</f>
        <v>7.5</v>
      </c>
      <c r="E17" s="63" t="n">
        <f aca="false">calc!$W$17</f>
        <v>348.052671395214</v>
      </c>
      <c r="F17" s="81" t="n">
        <f aca="false">2*(E17-E16)</f>
        <v>0.569419530083451</v>
      </c>
      <c r="G17" s="32" t="n">
        <f aca="false">calc!$X$17</f>
        <v>-0.0750954914963963</v>
      </c>
      <c r="H17" s="80" t="n">
        <f aca="false">G17*2*PI()</f>
        <v>-0.471838888805587</v>
      </c>
      <c r="I17" s="34" t="n">
        <f aca="false">calc!$AL$17</f>
        <v>250.150067810238</v>
      </c>
    </row>
    <row r="18" customFormat="false" ht="15" hidden="false" customHeight="false" outlineLevel="0" collapsed="false">
      <c r="D18" s="34" t="n">
        <f aca="false">calc!$A$18</f>
        <v>8</v>
      </c>
      <c r="E18" s="63" t="n">
        <f aca="false">calc!$W$18</f>
        <v>348.337248648613</v>
      </c>
      <c r="F18" s="81" t="n">
        <f aca="false">2*(E18-E17)</f>
        <v>0.569154506797759</v>
      </c>
      <c r="G18" s="32" t="n">
        <f aca="false">calc!$X$18</f>
        <v>-0.0748361283758389</v>
      </c>
      <c r="H18" s="80" t="n">
        <f aca="false">G18*2*PI()</f>
        <v>-0.470209262257276</v>
      </c>
      <c r="I18" s="34" t="n">
        <f aca="false">calc!$AL$18</f>
        <v>250.170602130473</v>
      </c>
    </row>
    <row r="19" customFormat="false" ht="15" hidden="false" customHeight="false" outlineLevel="0" collapsed="false">
      <c r="D19" s="34" t="n">
        <f aca="false">calc!$A$19</f>
        <v>8.5</v>
      </c>
      <c r="E19" s="63" t="n">
        <f aca="false">calc!$W$19</f>
        <v>348.621693518546</v>
      </c>
      <c r="F19" s="81" t="n">
        <f aca="false">2*(E19-E18)</f>
        <v>0.568889739867586</v>
      </c>
      <c r="G19" s="32" t="n">
        <f aca="false">calc!$X$19</f>
        <v>-0.0745750396133461</v>
      </c>
      <c r="H19" s="80" t="n">
        <f aca="false">G19*2*PI()</f>
        <v>-0.468568793180912</v>
      </c>
      <c r="I19" s="34" t="n">
        <f aca="false">calc!$AL$19</f>
        <v>250.191136450248</v>
      </c>
    </row>
    <row r="20" customFormat="false" ht="15" hidden="false" customHeight="false" outlineLevel="0" collapsed="false">
      <c r="D20" s="34" t="n">
        <f aca="false">calc!$A$20</f>
        <v>9</v>
      </c>
      <c r="E20" s="63" t="n">
        <f aca="false">calc!$W$20</f>
        <v>348.906006155513</v>
      </c>
      <c r="F20" s="81" t="n">
        <f aca="false">2*(E20-E19)</f>
        <v>0.56862527393298</v>
      </c>
      <c r="G20" s="32" t="n">
        <f aca="false">calc!$X$20</f>
        <v>-0.0743122338661173</v>
      </c>
      <c r="H20" s="80" t="n">
        <f aca="false">G20*2*PI()</f>
        <v>-0.466917535971281</v>
      </c>
      <c r="I20" s="34" t="n">
        <f aca="false">calc!$AL$20</f>
        <v>250.211670770483</v>
      </c>
    </row>
    <row r="21" customFormat="false" ht="15" hidden="false" customHeight="false" outlineLevel="0" collapsed="false">
      <c r="D21" s="34" t="n">
        <f aca="false">calc!$A$21</f>
        <v>9.5</v>
      </c>
      <c r="E21" s="63" t="n">
        <f aca="false">calc!$W$21</f>
        <v>349.1901866942</v>
      </c>
      <c r="F21" s="81" t="n">
        <f aca="false">2*(E21-E20)</f>
        <v>0.568361077374561</v>
      </c>
      <c r="G21" s="32" t="n">
        <f aca="false">calc!$X$21</f>
        <v>-0.0740477198295722</v>
      </c>
      <c r="H21" s="80" t="n">
        <f aca="false">G21*2*PI()</f>
        <v>-0.465255545263318</v>
      </c>
      <c r="I21" s="34" t="n">
        <f aca="false">calc!$AL$21</f>
        <v>250.232205090717</v>
      </c>
    </row>
    <row r="22" customFormat="false" ht="15" hidden="false" customHeight="false" outlineLevel="0" collapsed="false">
      <c r="D22" s="34" t="n">
        <f aca="false">calc!$A$22</f>
        <v>10</v>
      </c>
      <c r="E22" s="63" t="n">
        <f aca="false">calc!$W$22</f>
        <v>349.474235272419</v>
      </c>
      <c r="F22" s="81" t="n">
        <f aca="false">2*(E22-E21)</f>
        <v>0.56809715643783</v>
      </c>
      <c r="G22" s="32" t="n">
        <f aca="false">calc!$X$22</f>
        <v>-0.0737815062195385</v>
      </c>
      <c r="H22" s="80" t="n">
        <f aca="false">G22*2*PI()</f>
        <v>-0.463582875820183</v>
      </c>
      <c r="I22" s="34" t="n">
        <f aca="false">calc!$AL$22</f>
        <v>250.252739410495</v>
      </c>
    </row>
    <row r="23" customFormat="false" ht="15" hidden="false" customHeight="false" outlineLevel="0" collapsed="false">
      <c r="D23" s="34" t="n">
        <f aca="false">calc!$A$23</f>
        <v>10.5</v>
      </c>
      <c r="E23" s="63" t="n">
        <f aca="false">calc!$W$23</f>
        <v>349.758152050184</v>
      </c>
      <c r="F23" s="81" t="n">
        <f aca="false">2*(E23-E22)</f>
        <v>0.567833555529433</v>
      </c>
      <c r="G23" s="32" t="n">
        <f aca="false">calc!$X$23</f>
        <v>-0.0735136017540819</v>
      </c>
      <c r="H23" s="80" t="n">
        <f aca="false">G23*2*PI()</f>
        <v>-0.461899582419099</v>
      </c>
      <c r="I23" s="34" t="n">
        <f aca="false">calc!$AL$23</f>
        <v>250.273273730727</v>
      </c>
    </row>
    <row r="24" customFormat="false" ht="15" hidden="false" customHeight="false" outlineLevel="0" collapsed="false">
      <c r="D24" s="34" t="n">
        <f aca="false">calc!$A$24</f>
        <v>11</v>
      </c>
      <c r="E24" s="63" t="n">
        <f aca="false">calc!$W$24</f>
        <v>350.041937171552</v>
      </c>
      <c r="F24" s="81" t="n">
        <f aca="false">2*(E24-E23)</f>
        <v>0.567570242735769</v>
      </c>
      <c r="G24" s="32" t="n">
        <f aca="false">calc!$X$24</f>
        <v>-0.0732440151887183</v>
      </c>
      <c r="H24" s="80" t="n">
        <f aca="false">G24*2*PI()</f>
        <v>-0.460205720072594</v>
      </c>
      <c r="I24" s="34" t="n">
        <f aca="false">calc!$AL$24</f>
        <v>250.293808050961</v>
      </c>
    </row>
    <row r="25" customFormat="false" ht="15" hidden="false" customHeight="false" outlineLevel="0" collapsed="false">
      <c r="D25" s="34" t="n">
        <f aca="false">calc!$A$25</f>
        <v>11.5</v>
      </c>
      <c r="E25" s="63" t="n">
        <f aca="false">calc!$W$25</f>
        <v>350.325590783617</v>
      </c>
      <c r="F25" s="81" t="n">
        <f aca="false">2*(E25-E24)</f>
        <v>0.567307224130673</v>
      </c>
      <c r="G25" s="32" t="n">
        <f aca="false">calc!$X$25</f>
        <v>-0.0729727552985988</v>
      </c>
      <c r="H25" s="80" t="n">
        <f aca="false">G25*2*PI()</f>
        <v>-0.458501343916568</v>
      </c>
      <c r="I25" s="34" t="n">
        <f aca="false">calc!$AL$25</f>
        <v>250.314342370739</v>
      </c>
    </row>
    <row r="26" customFormat="false" ht="15" hidden="false" customHeight="false" outlineLevel="0" collapsed="false">
      <c r="D26" s="34" t="n">
        <f aca="false">calc!$A$26</f>
        <v>12</v>
      </c>
      <c r="E26" s="63" t="n">
        <f aca="false">calc!$W$26</f>
        <v>350.609113055576</v>
      </c>
      <c r="F26" s="81" t="n">
        <f aca="false">2*(E26-E25)</f>
        <v>0.567044543917632</v>
      </c>
      <c r="G26" s="32" t="n">
        <f aca="false">calc!$X$26</f>
        <v>-0.0726998308597072</v>
      </c>
      <c r="H26" s="80" t="n">
        <f aca="false">G26*2*PI()</f>
        <v>-0.456786509092153</v>
      </c>
      <c r="I26" s="34" t="n">
        <f aca="false">calc!$AL$26</f>
        <v>250.334876690969</v>
      </c>
    </row>
    <row r="27" customFormat="false" ht="15" hidden="false" customHeight="false" outlineLevel="0" collapsed="false">
      <c r="D27" s="34" t="n">
        <f aca="false">calc!$A$27</f>
        <v>12.5</v>
      </c>
      <c r="E27" s="63" t="n">
        <f aca="false">calc!$W$27</f>
        <v>350.892504140503</v>
      </c>
      <c r="F27" s="81" t="n">
        <f aca="false">2*(E27-E26)</f>
        <v>0.566782169853696</v>
      </c>
      <c r="G27" s="32" t="n">
        <f aca="false">calc!$X$27</f>
        <v>-0.0724252506849844</v>
      </c>
      <c r="H27" s="80" t="n">
        <f aca="false">G27*2*PI()</f>
        <v>-0.455061270972692</v>
      </c>
      <c r="I27" s="34" t="n">
        <f aca="false">calc!$AL$27</f>
        <v>250.355411011205</v>
      </c>
    </row>
    <row r="28" customFormat="false" ht="15" hidden="false" customHeight="false" outlineLevel="0" collapsed="false">
      <c r="D28" s="34" t="n">
        <f aca="false">calc!$A$28</f>
        <v>13</v>
      </c>
      <c r="E28" s="63" t="n">
        <f aca="false">calc!$W$28</f>
        <v>351.175764194441</v>
      </c>
      <c r="F28" s="81" t="n">
        <f aca="false">2*(E28-E27)</f>
        <v>0.566520107876954</v>
      </c>
      <c r="G28" s="32" t="n">
        <f aca="false">calc!$X$28</f>
        <v>-0.0721490236060689</v>
      </c>
      <c r="H28" s="80" t="n">
        <f aca="false">G28*2*PI()</f>
        <v>-0.453325685049005</v>
      </c>
      <c r="I28" s="34" t="n">
        <f aca="false">calc!$AL$28</f>
        <v>250.375945330981</v>
      </c>
    </row>
    <row r="29" customFormat="false" ht="15" hidden="false" customHeight="false" outlineLevel="0" collapsed="false">
      <c r="D29" s="34" t="n">
        <f aca="false">calc!$A$29</f>
        <v>13.5</v>
      </c>
      <c r="E29" s="63" t="n">
        <f aca="false">calc!$W$29</f>
        <v>351.458893395299</v>
      </c>
      <c r="F29" s="81" t="n">
        <f aca="false">2*(E29-E28)</f>
        <v>0.566258401715913</v>
      </c>
      <c r="G29" s="32" t="n">
        <f aca="false">calc!$X$29</f>
        <v>-0.0718711584541858</v>
      </c>
      <c r="H29" s="80" t="n">
        <f aca="false">G29*2*PI()</f>
        <v>-0.451579806809316</v>
      </c>
      <c r="I29" s="34" t="n">
        <f aca="false">calc!$AL$29</f>
        <v>250.396479651216</v>
      </c>
    </row>
    <row r="30" customFormat="false" ht="15" hidden="false" customHeight="false" outlineLevel="0" collapsed="false">
      <c r="D30" s="34" t="n">
        <f aca="false">calc!$A$30</f>
        <v>14</v>
      </c>
      <c r="E30" s="63" t="n">
        <f aca="false">calc!$W$30</f>
        <v>351.741891904896</v>
      </c>
      <c r="F30" s="81" t="n">
        <f aca="false">2*(E30-E29)</f>
        <v>0.565997019194128</v>
      </c>
      <c r="G30" s="32" t="n">
        <f aca="false">calc!$X$30</f>
        <v>-0.0715916640970417</v>
      </c>
      <c r="H30" s="80" t="n">
        <f aca="false">G30*2*PI()</f>
        <v>-0.449823691971068</v>
      </c>
      <c r="I30" s="34" t="n">
        <f aca="false">calc!$AL$30</f>
        <v>250.417013971452</v>
      </c>
    </row>
    <row r="31" customFormat="false" ht="15" hidden="false" customHeight="false" outlineLevel="0" collapsed="false">
      <c r="D31" s="34" t="n">
        <f aca="false">calc!$A$31</f>
        <v>14.5</v>
      </c>
      <c r="E31" s="63" t="n">
        <f aca="false">calc!$W$31</f>
        <v>352.024759887813</v>
      </c>
      <c r="F31" s="81" t="n">
        <f aca="false">2*(E31-E30)</f>
        <v>0.565735965834165</v>
      </c>
      <c r="G31" s="32" t="n">
        <f aca="false">calc!$X$31</f>
        <v>-0.0713105494200428</v>
      </c>
      <c r="H31" s="80" t="n">
        <f aca="false">G31*2*PI()</f>
        <v>-0.448057396362916</v>
      </c>
      <c r="I31" s="34" t="n">
        <f aca="false">calc!$AL$31</f>
        <v>250.437548291227</v>
      </c>
    </row>
    <row r="32" customFormat="false" ht="15" hidden="false" customHeight="false" outlineLevel="0" collapsed="false">
      <c r="D32" s="34" t="n">
        <f aca="false">calc!$A$32</f>
        <v>15</v>
      </c>
      <c r="E32" s="63" t="n">
        <f aca="false">calc!$W$32</f>
        <v>352.307497530378</v>
      </c>
      <c r="F32" s="81" t="n">
        <f aca="false">2*(E32-E31)</f>
        <v>0.565475285130106</v>
      </c>
      <c r="G32" s="32" t="n">
        <f aca="false">calc!$X$32</f>
        <v>-0.0710278233070548</v>
      </c>
      <c r="H32" s="80" t="n">
        <f aca="false">G32*2*PI()</f>
        <v>-0.446280975803835</v>
      </c>
      <c r="I32" s="34" t="n">
        <f aca="false">calc!$AL$32</f>
        <v>250.458082611462</v>
      </c>
    </row>
    <row r="33" customFormat="false" ht="15" hidden="false" customHeight="false" outlineLevel="0" collapsed="false">
      <c r="D33" s="34" t="n">
        <f aca="false">calc!$A$33</f>
        <v>15.5</v>
      </c>
      <c r="E33" s="63" t="n">
        <f aca="false">calc!$W$33</f>
        <v>352.590105002733</v>
      </c>
      <c r="F33" s="81" t="n">
        <f aca="false">2*(E33-E32)</f>
        <v>0.565214944709396</v>
      </c>
      <c r="G33" s="32" t="n">
        <f aca="false">calc!$X$33</f>
        <v>-0.0707434946778774</v>
      </c>
      <c r="H33" s="80" t="n">
        <f aca="false">G33*2*PI()</f>
        <v>-0.444494486338576</v>
      </c>
      <c r="I33" s="34" t="n">
        <f aca="false">calc!$AL$33</f>
        <v>250.478616931696</v>
      </c>
    </row>
    <row r="34" customFormat="false" ht="15" hidden="false" customHeight="false" outlineLevel="0" collapsed="false">
      <c r="D34" s="34" t="n">
        <f aca="false">calc!$A$34</f>
        <v>16</v>
      </c>
      <c r="E34" s="63" t="n">
        <f aca="false">calc!$W$34</f>
        <v>352.872582477656</v>
      </c>
      <c r="F34" s="81" t="n">
        <f aca="false">2*(E34-E33)</f>
        <v>0.564954949845514</v>
      </c>
      <c r="G34" s="32" t="n">
        <f aca="false">calc!$X$34</f>
        <v>-0.0704575724691371</v>
      </c>
      <c r="H34" s="80" t="n">
        <f aca="false">G34*2*PI()</f>
        <v>-0.442697984117623</v>
      </c>
      <c r="I34" s="34" t="n">
        <f aca="false">calc!$AL$34</f>
        <v>250.499151251472</v>
      </c>
    </row>
    <row r="35" customFormat="false" ht="15" hidden="false" customHeight="false" outlineLevel="0" collapsed="false">
      <c r="D35" s="34" t="n">
        <f aca="false">calc!$A$35</f>
        <v>16.5</v>
      </c>
      <c r="E35" s="63" t="n">
        <f aca="false">calc!$W$35</f>
        <v>353.154930149557</v>
      </c>
      <c r="F35" s="81" t="n">
        <f aca="false">2*(E35-E34)</f>
        <v>0.564695343802555</v>
      </c>
      <c r="G35" s="32" t="n">
        <f aca="false">calc!$X$35</f>
        <v>-0.0701700656148278</v>
      </c>
      <c r="H35" s="80" t="n">
        <f aca="false">G35*2*PI()</f>
        <v>-0.440891525274913</v>
      </c>
      <c r="I35" s="34" t="n">
        <f aca="false">calc!$AL$35</f>
        <v>250.519685571706</v>
      </c>
    </row>
    <row r="36" customFormat="false" ht="15" hidden="false" customHeight="false" outlineLevel="0" collapsed="false">
      <c r="D36" s="34" t="n">
        <f aca="false">calc!$A$36</f>
        <v>17</v>
      </c>
      <c r="E36" s="63" t="n">
        <f aca="false">calc!$W$36</f>
        <v>353.437148196497</v>
      </c>
      <c r="F36" s="81" t="n">
        <f aca="false">2*(E36-E35)</f>
        <v>0.564436093879408</v>
      </c>
      <c r="G36" s="32" t="n">
        <f aca="false">calc!$X$36</f>
        <v>-0.0698809830842299</v>
      </c>
      <c r="H36" s="80" t="n">
        <f aca="false">G36*2*PI()</f>
        <v>-0.439075166166099</v>
      </c>
      <c r="I36" s="34" t="n">
        <f aca="false">calc!$AL$36</f>
        <v>250.540219891942</v>
      </c>
    </row>
    <row r="37" customFormat="false" ht="15" hidden="false" customHeight="false" outlineLevel="0" collapsed="false">
      <c r="D37" s="34" t="n">
        <f aca="false">calc!$A$37</f>
        <v>17.5</v>
      </c>
      <c r="E37" s="63" t="n">
        <f aca="false">calc!$W$37</f>
        <v>353.719236799123</v>
      </c>
      <c r="F37" s="81" t="n">
        <f aca="false">2*(E37-E36)</f>
        <v>0.564177205253145</v>
      </c>
      <c r="G37" s="32" t="n">
        <f aca="false">calc!$X$37</f>
        <v>-0.0695903338627783</v>
      </c>
      <c r="H37" s="80" t="n">
        <f aca="false">G37*2*PI()</f>
        <v>-0.43724896324833</v>
      </c>
      <c r="I37" s="34" t="n">
        <f aca="false">calc!$AL$37</f>
        <v>250.560754211714</v>
      </c>
    </row>
    <row r="38" customFormat="false" ht="15" hidden="false" customHeight="false" outlineLevel="0" collapsed="false">
      <c r="D38" s="34" t="n">
        <f aca="false">calc!$A$38</f>
        <v>18</v>
      </c>
      <c r="E38" s="63" t="n">
        <f aca="false">calc!$W$38</f>
        <v>354.001196159522</v>
      </c>
      <c r="F38" s="81" t="n">
        <f aca="false">2*(E38-E37)</f>
        <v>0.563918720797915</v>
      </c>
      <c r="G38" s="32" t="n">
        <f aca="false">calc!$X$38</f>
        <v>-0.069298126931983</v>
      </c>
      <c r="H38" s="80" t="n">
        <f aca="false">G38*2*PI()</f>
        <v>-0.435412972954101</v>
      </c>
      <c r="I38" s="34" t="n">
        <f aca="false">calc!$AL$38</f>
        <v>250.58128853195</v>
      </c>
    </row>
    <row r="39" customFormat="false" ht="15" hidden="false" customHeight="false" outlineLevel="0" collapsed="false">
      <c r="D39" s="34" t="n">
        <f aca="false">calc!$A$39</f>
        <v>18.5</v>
      </c>
      <c r="E39" s="63" t="n">
        <f aca="false">calc!$W$39</f>
        <v>354.283026463406</v>
      </c>
      <c r="F39" s="81" t="n">
        <f aca="false">2*(E39-E38)</f>
        <v>0.563660607766678</v>
      </c>
      <c r="G39" s="32" t="n">
        <f aca="false">calc!$X$39</f>
        <v>-0.0690043713083084</v>
      </c>
      <c r="H39" s="80" t="n">
        <f aca="false">G39*2*PI()</f>
        <v>-0.433567251935528</v>
      </c>
      <c r="I39" s="34" t="n">
        <f aca="false">calc!$AL$39</f>
        <v>250.601822852186</v>
      </c>
    </row>
    <row r="40" customFormat="false" ht="15" hidden="false" customHeight="false" outlineLevel="0" collapsed="false">
      <c r="D40" s="34" t="n">
        <f aca="false">calc!$A$40</f>
        <v>19</v>
      </c>
      <c r="E40" s="63" t="n">
        <f aca="false">calc!$W$40</f>
        <v>354.56472789887</v>
      </c>
      <c r="F40" s="81" t="n">
        <f aca="false">2*(E40-E39)</f>
        <v>0.563402870928712</v>
      </c>
      <c r="G40" s="32" t="n">
        <f aca="false">calc!$X$40</f>
        <v>-0.0687090760234258</v>
      </c>
      <c r="H40" s="80" t="n">
        <f aca="false">G40*2*PI()</f>
        <v>-0.431711856940274</v>
      </c>
      <c r="I40" s="34" t="n">
        <f aca="false">calc!$AL$40</f>
        <v>250.622357171958</v>
      </c>
    </row>
    <row r="41" customFormat="false" ht="15" hidden="false" customHeight="false" outlineLevel="0" collapsed="false">
      <c r="D41" s="34" t="n">
        <f aca="false">calc!$A$41</f>
        <v>19.5</v>
      </c>
      <c r="E41" s="63" t="n">
        <f aca="false">calc!$W$41</f>
        <v>354.846300675408</v>
      </c>
      <c r="F41" s="81" t="n">
        <f aca="false">2*(E41-E40)</f>
        <v>0.563145553075515</v>
      </c>
      <c r="G41" s="32" t="n">
        <f aca="false">calc!$X$41</f>
        <v>-0.068412250104062</v>
      </c>
      <c r="H41" s="80" t="n">
        <f aca="false">G41*2*PI()</f>
        <v>-0.429846844684937</v>
      </c>
      <c r="I41" s="34" t="n">
        <f aca="false">calc!$AL$41</f>
        <v>250.642891492194</v>
      </c>
    </row>
    <row r="42" customFormat="false" ht="15" hidden="false" customHeight="false" outlineLevel="0" collapsed="false">
      <c r="D42" s="34" t="n">
        <f aca="false">calc!$A$42</f>
        <v>20</v>
      </c>
      <c r="E42" s="63" t="n">
        <f aca="false">calc!$W$42</f>
        <v>355.127744985925</v>
      </c>
      <c r="F42" s="81" t="n">
        <f aca="false">2*(E42-E41)</f>
        <v>0.562888621035086</v>
      </c>
      <c r="G42" s="32" t="n">
        <f aca="false">calc!$X$42</f>
        <v>-0.0681139026114044</v>
      </c>
      <c r="H42" s="80" t="n">
        <f aca="false">G42*2*PI()</f>
        <v>-0.427972272102637</v>
      </c>
      <c r="I42" s="34" t="n">
        <f aca="false">calc!$AL$42</f>
        <v>250.663425812429</v>
      </c>
    </row>
    <row r="43" customFormat="false" ht="15" hidden="false" customHeight="false" outlineLevel="0" collapsed="false">
      <c r="D43" s="34" t="n">
        <f aca="false">calc!$A$43</f>
        <v>20.5</v>
      </c>
      <c r="E43" s="63" t="n">
        <f aca="false">calc!$W$43</f>
        <v>355.409061025697</v>
      </c>
      <c r="F43" s="81" t="n">
        <f aca="false">2*(E43-E42)</f>
        <v>0.562632079543846</v>
      </c>
      <c r="G43" s="32" t="n">
        <f aca="false">calc!$X$43</f>
        <v>-0.0678140426210454</v>
      </c>
      <c r="H43" s="80" t="n">
        <f aca="false">G43*2*PI()</f>
        <v>-0.426088196217003</v>
      </c>
      <c r="I43" s="34" t="n">
        <f aca="false">calc!$AL$43</f>
        <v>250.683960132204</v>
      </c>
    </row>
    <row r="44" customFormat="false" ht="15" hidden="false" customHeight="false" outlineLevel="0" collapsed="false">
      <c r="D44" s="34" t="n">
        <f aca="false">calc!$A$44</f>
        <v>21</v>
      </c>
      <c r="E44" s="63" t="n">
        <f aca="false">calc!$W$44</f>
        <v>355.690249011171</v>
      </c>
      <c r="F44" s="81" t="n">
        <f aca="false">2*(E44-E43)</f>
        <v>0.56237597094696</v>
      </c>
      <c r="G44" s="32" t="n">
        <f aca="false">calc!$X$44</f>
        <v>-0.0675126792026475</v>
      </c>
      <c r="H44" s="80" t="n">
        <f aca="false">G44*2*PI()</f>
        <v>-0.424194674014404</v>
      </c>
      <c r="I44" s="34" t="n">
        <f aca="false">calc!$AL$44</f>
        <v>250.704494452439</v>
      </c>
    </row>
    <row r="45" customFormat="false" ht="15" hidden="false" customHeight="false" outlineLevel="0" collapsed="false">
      <c r="D45" s="34" t="n">
        <f aca="false">calc!$A$45</f>
        <v>21.5</v>
      </c>
      <c r="E45" s="63" t="n">
        <f aca="false">calc!$W$45</f>
        <v>355.971309142157</v>
      </c>
      <c r="F45" s="81" t="n">
        <f aca="false">2*(E45-E44)</f>
        <v>0.562120261973064</v>
      </c>
      <c r="G45" s="32" t="n">
        <f aca="false">calc!$X$45</f>
        <v>-0.0672098214597232</v>
      </c>
      <c r="H45" s="80" t="n">
        <f aca="false">G45*2*PI()</f>
        <v>-0.422291762693896</v>
      </c>
      <c r="I45" s="34" t="n">
        <f aca="false">calc!$AL$45</f>
        <v>250.725028772673</v>
      </c>
    </row>
    <row r="46" customFormat="false" ht="15" hidden="false" customHeight="false" outlineLevel="0" collapsed="false">
      <c r="D46" s="34" t="n">
        <f aca="false">calc!$A$46</f>
        <v>22</v>
      </c>
      <c r="E46" s="63" t="n">
        <f aca="false">calc!$W$46</f>
        <v>356.252241620778</v>
      </c>
      <c r="F46" s="81" t="n">
        <f aca="false">2*(E46-E45)</f>
        <v>0.56186495724171</v>
      </c>
      <c r="G46" s="32" t="n">
        <f aca="false">calc!$X$46</f>
        <v>-0.0669054785096191</v>
      </c>
      <c r="H46" s="80" t="n">
        <f aca="false">G46*2*PI()</f>
        <v>-0.420379519541458</v>
      </c>
      <c r="I46" s="34" t="n">
        <f aca="false">calc!$AL$46</f>
        <v>250.745563092449</v>
      </c>
    </row>
    <row r="47" customFormat="false" ht="15" hidden="false" customHeight="false" outlineLevel="0" collapsed="false">
      <c r="D47" s="34" t="n">
        <f aca="false">calc!$A$47</f>
        <v>22.5</v>
      </c>
      <c r="E47" s="63" t="n">
        <f aca="false">calc!$W$47</f>
        <v>356.533046670051</v>
      </c>
      <c r="F47" s="81" t="n">
        <f aca="false">2*(E47-E46)</f>
        <v>0.561610098545657</v>
      </c>
      <c r="G47" s="32" t="n">
        <f aca="false">calc!$X$47</f>
        <v>-0.066599659462516</v>
      </c>
      <c r="H47" s="80" t="n">
        <f aca="false">G47*2*PI()</f>
        <v>-0.418458001798045</v>
      </c>
      <c r="I47" s="34" t="n">
        <f aca="false">calc!$AL$47</f>
        <v>250.766097412683</v>
      </c>
    </row>
    <row r="48" customFormat="false" ht="15" hidden="false" customHeight="false" outlineLevel="0" collapsed="false">
      <c r="D48" s="34" t="n">
        <f aca="false">calc!$A$48</f>
        <v>23</v>
      </c>
      <c r="E48" s="63" t="n">
        <f aca="false">calc!$W$48</f>
        <v>356.813724496422</v>
      </c>
      <c r="F48" s="81" t="n">
        <f aca="false">2*(E48-E47)</f>
        <v>0.56135565274235</v>
      </c>
      <c r="G48" s="32" t="n">
        <f aca="false">calc!$X$48</f>
        <v>-0.066292373462202</v>
      </c>
      <c r="H48" s="80" t="n">
        <f aca="false">G48*2*PI()</f>
        <v>-0.416527266915769</v>
      </c>
      <c r="I48" s="34" t="n">
        <f aca="false">calc!$AL$48</f>
        <v>250.786631732917</v>
      </c>
    </row>
    <row r="49" customFormat="false" ht="15" hidden="false" customHeight="false" outlineLevel="0" collapsed="false">
      <c r="D49" s="34" t="n">
        <f aca="false">calc!$A$49</f>
        <v>23.5</v>
      </c>
      <c r="E49" s="63" t="n">
        <f aca="false">calc!$W$49</f>
        <v>357.094275308359</v>
      </c>
      <c r="F49" s="81" t="n">
        <f aca="false">2*(E49-E48)</f>
        <v>0.561101623873469</v>
      </c>
      <c r="G49" s="32" t="n">
        <f aca="false">calc!$X$49</f>
        <v>-0.0659836296653954</v>
      </c>
      <c r="H49" s="80" t="n">
        <f aca="false">G49*2*PI()</f>
        <v>-0.414587372427991</v>
      </c>
      <c r="I49" s="34" t="n">
        <f aca="false">calc!$AL$49</f>
        <v>250.807166052691</v>
      </c>
    </row>
    <row r="50" customFormat="false" ht="15" hidden="false" customHeight="false" outlineLevel="0" collapsed="false">
      <c r="D50" s="34" t="n">
        <f aca="false">calc!$A$50</f>
        <v>24</v>
      </c>
      <c r="E50" s="63" t="n">
        <f aca="false">calc!$W$50</f>
        <v>357.374699335299</v>
      </c>
      <c r="F50" s="81" t="n">
        <f aca="false">2*(E50-E49)</f>
        <v>0.560848053881387</v>
      </c>
      <c r="G50" s="32" t="n">
        <f aca="false">calc!$X$50</f>
        <v>-0.0656734372207351</v>
      </c>
      <c r="H50" s="80" t="n">
        <f aca="false">G50*2*PI()</f>
        <v>-0.412638375817304</v>
      </c>
      <c r="I50" s="34" t="n">
        <f aca="false">calc!$AL$50</f>
        <v>250.827700372927</v>
      </c>
    </row>
    <row r="53" customFormat="false" ht="15" hidden="false" customHeight="false" outlineLevel="0" collapsed="false">
      <c r="B53" s="1" t="s">
        <v>92</v>
      </c>
      <c r="C53" s="1" t="n">
        <v>696342</v>
      </c>
    </row>
    <row r="54" customFormat="false" ht="15" hidden="false" customHeight="false" outlineLevel="0" collapsed="false">
      <c r="B54" s="1" t="s">
        <v>93</v>
      </c>
      <c r="C54" s="1" t="n">
        <v>6371</v>
      </c>
    </row>
    <row r="55" customFormat="false" ht="15" hidden="false" customHeight="false" outlineLevel="0" collapsed="false">
      <c r="B55" s="1" t="s">
        <v>94</v>
      </c>
      <c r="C55" s="1" t="n">
        <f aca="false">3476/2</f>
        <v>1738</v>
      </c>
    </row>
    <row r="56" customFormat="false" ht="15" hidden="false" customHeight="false" outlineLevel="0" collapsed="false">
      <c r="B56" s="1" t="s">
        <v>95</v>
      </c>
      <c r="C56" s="1" t="n">
        <f aca="false">C53/C54</f>
        <v>109.298697221786</v>
      </c>
      <c r="D56" s="57" t="n">
        <f aca="false">1/C56</f>
        <v>0.00914923988499904</v>
      </c>
    </row>
    <row r="57" customFormat="false" ht="15" hidden="false" customHeight="false" outlineLevel="0" collapsed="false">
      <c r="B57" s="1" t="s">
        <v>96</v>
      </c>
      <c r="C57" s="1" t="n">
        <f aca="false">C53/C55</f>
        <v>400.657077100115</v>
      </c>
      <c r="D57" s="57" t="n">
        <f aca="false">1/C57</f>
        <v>0.00249590000315937</v>
      </c>
      <c r="I57" s="1"/>
    </row>
    <row r="58" customFormat="false" ht="15" hidden="false" customHeight="false" outlineLevel="0" collapsed="false">
      <c r="B58" s="1" t="s">
        <v>97</v>
      </c>
      <c r="C58" s="1" t="n">
        <f aca="false">C54/C55</f>
        <v>3.66570771001151</v>
      </c>
      <c r="D58" s="57" t="n">
        <f aca="false">1/C58</f>
        <v>0.272798618741171</v>
      </c>
    </row>
    <row r="60" customFormat="false" ht="21.75" hidden="false" customHeight="false" outlineLevel="0" collapsed="false">
      <c r="B60" s="82" t="s">
        <v>98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17" activeCellId="0" sqref="B17"/>
    </sheetView>
  </sheetViews>
  <sheetFormatPr defaultColWidth="9.625" defaultRowHeight="15" zeroHeight="false" outlineLevelRow="0" outlineLevelCol="0"/>
  <cols>
    <col collapsed="false" customWidth="true" hidden="false" outlineLevel="0" max="2" min="1" style="1" width="7.67"/>
    <col collapsed="false" customWidth="true" hidden="false" outlineLevel="0" max="3" min="3" style="1" width="8.57"/>
    <col collapsed="false" customWidth="true" hidden="false" outlineLevel="0" max="4" min="4" style="57" width="8.46"/>
    <col collapsed="false" customWidth="true" hidden="false" outlineLevel="0" max="5" min="5" style="58" width="8.46"/>
    <col collapsed="false" customWidth="true" hidden="false" outlineLevel="0" max="6" min="6" style="4" width="8.46"/>
    <col collapsed="false" customWidth="true" hidden="false" outlineLevel="0" max="7" min="7" style="83" width="8.46"/>
    <col collapsed="false" customWidth="true" hidden="false" outlineLevel="0" max="8" min="8" style="1" width="8.46"/>
    <col collapsed="false" customWidth="true" hidden="false" outlineLevel="0" max="9" min="9" style="1" width="9.02"/>
    <col collapsed="false" customWidth="true" hidden="false" outlineLevel="0" max="10" min="10" style="1" width="8.8"/>
    <col collapsed="false" customWidth="true" hidden="false" outlineLevel="0" max="64" min="11" style="1" width="7.33"/>
  </cols>
  <sheetData>
    <row r="1" customFormat="false" ht="15" hidden="false" customHeight="false" outlineLevel="0" collapsed="false">
      <c r="A1" s="2" t="str">
        <f aca="false">input!$A$1</f>
        <v>Date:</v>
      </c>
      <c r="B1" s="2" t="str">
        <f aca="false">input!$B$1</f>
        <v>Month:</v>
      </c>
      <c r="C1" s="2" t="str">
        <f aca="false">input!$C$1</f>
        <v>Year:</v>
      </c>
      <c r="D1" s="61" t="str">
        <f aca="false">calc!$A$1</f>
        <v>UT</v>
      </c>
      <c r="E1" s="60" t="s">
        <v>40</v>
      </c>
      <c r="F1" s="2" t="str">
        <f aca="false">'L   B'!$I$1</f>
        <v>Lsun</v>
      </c>
      <c r="G1" s="84" t="str">
        <f aca="false">'L   B'!$G$1</f>
        <v>Bmoon</v>
      </c>
    </row>
    <row r="2" customFormat="false" ht="15" hidden="false" customHeight="false" outlineLevel="0" collapsed="false">
      <c r="A2" s="4" t="n">
        <f aca="false">input!$A$2</f>
        <v>1</v>
      </c>
      <c r="B2" s="4" t="n">
        <f aca="false">input!$B$2</f>
        <v>12</v>
      </c>
      <c r="C2" s="4" t="n">
        <f aca="false">input!$C$2</f>
        <v>2022</v>
      </c>
      <c r="D2" s="34" t="n">
        <f aca="false">calc!$A$2</f>
        <v>0</v>
      </c>
      <c r="E2" s="75" t="n">
        <f aca="false">'L   B'!$E$2</f>
        <v>343.768043975242</v>
      </c>
      <c r="F2" s="63" t="n">
        <f aca="false">'L   B'!$I$2</f>
        <v>249.842053009017</v>
      </c>
      <c r="G2" s="83" t="n">
        <f aca="false">'L   B'!$G$2</f>
        <v>-0.0787730327072318</v>
      </c>
    </row>
    <row r="3" customFormat="false" ht="15" hidden="false" customHeight="false" outlineLevel="0" collapsed="false">
      <c r="D3" s="34" t="n">
        <f aca="false">calc!$A$3</f>
        <v>0.5</v>
      </c>
      <c r="E3" s="75" t="n">
        <f aca="false">'L   B'!$E$3</f>
        <v>344.054621112016</v>
      </c>
      <c r="F3" s="63" t="n">
        <f aca="false">'L   B'!$I$3</f>
        <v>249.862587329251</v>
      </c>
      <c r="G3" s="83" t="n">
        <f aca="false">'L   B'!$G$3</f>
        <v>-0.0785405795171895</v>
      </c>
    </row>
    <row r="4" customFormat="false" ht="15" hidden="false" customHeight="false" outlineLevel="0" collapsed="false">
      <c r="D4" s="34" t="n">
        <f aca="false">calc!$A$4</f>
        <v>1</v>
      </c>
      <c r="E4" s="75" t="n">
        <f aca="false">'L   B'!$E$4</f>
        <v>344.341064211419</v>
      </c>
      <c r="F4" s="63" t="n">
        <f aca="false">'L   B'!$I$4</f>
        <v>249.883121649025</v>
      </c>
      <c r="G4" s="83" t="n">
        <f aca="false">'L   B'!$G$4</f>
        <v>-0.0783062733556495</v>
      </c>
    </row>
    <row r="5" customFormat="false" ht="15" hidden="false" customHeight="false" outlineLevel="0" collapsed="false">
      <c r="D5" s="34" t="n">
        <f aca="false">calc!$A$5</f>
        <v>1.5</v>
      </c>
      <c r="E5" s="75" t="n">
        <f aca="false">'L   B'!$E$5</f>
        <v>344.627373370998</v>
      </c>
      <c r="F5" s="63" t="n">
        <f aca="false">'L   B'!$I$5</f>
        <v>249.903655969261</v>
      </c>
      <c r="G5" s="83" t="n">
        <f aca="false">'L   B'!$G$5</f>
        <v>-0.0780701225308794</v>
      </c>
    </row>
    <row r="6" customFormat="false" ht="15" hidden="false" customHeight="false" outlineLevel="0" collapsed="false">
      <c r="D6" s="34" t="n">
        <f aca="false">calc!$A$6</f>
        <v>2</v>
      </c>
      <c r="E6" s="75" t="n">
        <f aca="false">'L   B'!$E$6</f>
        <v>344.913548672911</v>
      </c>
      <c r="F6" s="63" t="n">
        <f aca="false">'L   B'!$I$6</f>
        <v>249.924190289496</v>
      </c>
      <c r="G6" s="83" t="n">
        <f aca="false">'L   B'!$G$6</f>
        <v>-0.077832135392593</v>
      </c>
    </row>
    <row r="7" customFormat="false" ht="15" hidden="false" customHeight="false" outlineLevel="0" collapsed="false">
      <c r="D7" s="34" t="n">
        <f aca="false">calc!$A$7</f>
        <v>2.5</v>
      </c>
      <c r="E7" s="75" t="n">
        <f aca="false">'L   B'!$E$7</f>
        <v>345.199590203119</v>
      </c>
      <c r="F7" s="63" t="n">
        <f aca="false">'L   B'!$I$7</f>
        <v>249.944724609271</v>
      </c>
      <c r="G7" s="83" t="n">
        <f aca="false">'L   B'!$G$7</f>
        <v>-0.0775923203161615</v>
      </c>
    </row>
    <row r="8" customFormat="false" ht="15" hidden="false" customHeight="false" outlineLevel="0" collapsed="false">
      <c r="D8" s="34" t="n">
        <f aca="false">calc!$A$8</f>
        <v>3</v>
      </c>
      <c r="E8" s="75" t="n">
        <f aca="false">'L   B'!$E$8</f>
        <v>345.485498070498</v>
      </c>
      <c r="F8" s="63" t="n">
        <f aca="false">'L   B'!$I$8</f>
        <v>249.965258929507</v>
      </c>
      <c r="G8" s="83" t="n">
        <f aca="false">'L   B'!$G$8</f>
        <v>-0.0773506856859555</v>
      </c>
    </row>
    <row r="9" customFormat="false" ht="15" hidden="false" customHeight="false" outlineLevel="0" collapsed="false">
      <c r="D9" s="34" t="n">
        <f aca="false">calc!$A$9</f>
        <v>3.5</v>
      </c>
      <c r="E9" s="75" t="n">
        <f aca="false">'L   B'!$E$9</f>
        <v>345.771272368413</v>
      </c>
      <c r="F9" s="63" t="n">
        <f aca="false">'L   B'!$I$9</f>
        <v>249.985793249738</v>
      </c>
      <c r="G9" s="83" t="n">
        <f aca="false">'L   B'!$G$9</f>
        <v>-0.0771072399270888</v>
      </c>
    </row>
    <row r="10" customFormat="false" ht="15" hidden="false" customHeight="false" outlineLevel="0" collapsed="false">
      <c r="D10" s="34" t="n">
        <f aca="false">calc!$A$10</f>
        <v>4</v>
      </c>
      <c r="E10" s="75" t="n">
        <f aca="false">'L   B'!$E$10</f>
        <v>346.056913193961</v>
      </c>
      <c r="F10" s="63" t="n">
        <f aca="false">'L   B'!$I$10</f>
        <v>250.006327569516</v>
      </c>
      <c r="G10" s="83" t="n">
        <f aca="false">'L   B'!$G$10</f>
        <v>-0.0768619914892252</v>
      </c>
    </row>
    <row r="11" customFormat="false" ht="15" hidden="false" customHeight="false" outlineLevel="0" collapsed="false">
      <c r="D11" s="34" t="n">
        <f aca="false">calc!$A$11</f>
        <v>4.5</v>
      </c>
      <c r="E11" s="75" t="n">
        <f aca="false">'L   B'!$E$11</f>
        <v>346.342420666936</v>
      </c>
      <c r="F11" s="63" t="n">
        <f aca="false">'L   B'!$I$11</f>
        <v>250.02686188975</v>
      </c>
      <c r="G11" s="83" t="n">
        <f aca="false">'L   B'!$G$11</f>
        <v>-0.0766149488295606</v>
      </c>
    </row>
    <row r="12" customFormat="false" ht="15" hidden="false" customHeight="false" outlineLevel="0" collapsed="false">
      <c r="D12" s="34" t="n">
        <f aca="false">calc!$A$12</f>
        <v>5</v>
      </c>
      <c r="E12" s="75" t="n">
        <f aca="false">'L   B'!$E$12</f>
        <v>346.627794891624</v>
      </c>
      <c r="F12" s="63" t="n">
        <f aca="false">'L   B'!$I$12</f>
        <v>250.047396209984</v>
      </c>
      <c r="G12" s="83" t="n">
        <f aca="false">'L   B'!$G$12</f>
        <v>-0.0763661204454326</v>
      </c>
    </row>
    <row r="13" customFormat="false" ht="15" hidden="false" customHeight="false" outlineLevel="0" collapsed="false">
      <c r="D13" s="34" t="n">
        <f aca="false">calc!$A$13</f>
        <v>5.5</v>
      </c>
      <c r="E13" s="75" t="n">
        <f aca="false">'L   B'!$E$13</f>
        <v>346.913035975798</v>
      </c>
      <c r="F13" s="63" t="n">
        <f aca="false">'L   B'!$I$13</f>
        <v>250.06793052976</v>
      </c>
      <c r="G13" s="83" t="n">
        <f aca="false">'L   B'!$G$13</f>
        <v>-0.0761155148575807</v>
      </c>
    </row>
    <row r="14" customFormat="false" ht="15" hidden="false" customHeight="false" outlineLevel="0" collapsed="false">
      <c r="D14" s="34" t="n">
        <f aca="false">calc!$A$14</f>
        <v>6</v>
      </c>
      <c r="E14" s="75" t="n">
        <f aca="false">'L   B'!$E$14</f>
        <v>347.198144049885</v>
      </c>
      <c r="F14" s="63" t="n">
        <f aca="false">'L   B'!$I$14</f>
        <v>250.088464849994</v>
      </c>
      <c r="G14" s="83" t="n">
        <f aca="false">'L   B'!$G$14</f>
        <v>-0.0758631405929675</v>
      </c>
    </row>
    <row r="15" customFormat="false" ht="15" hidden="false" customHeight="false" outlineLevel="0" collapsed="false">
      <c r="D15" s="34" t="n">
        <f aca="false">calc!$A$15</f>
        <v>6.5</v>
      </c>
      <c r="E15" s="75" t="n">
        <f aca="false">'L   B'!$E$15</f>
        <v>347.483119228627</v>
      </c>
      <c r="F15" s="63" t="n">
        <f aca="false">'L   B'!$I$15</f>
        <v>250.108999170228</v>
      </c>
      <c r="G15" s="83" t="n">
        <f aca="false">'L   B'!$G$15</f>
        <v>-0.0756090062178921</v>
      </c>
    </row>
    <row r="16" customFormat="false" ht="15" hidden="false" customHeight="false" outlineLevel="0" collapsed="false">
      <c r="D16" s="34" t="n">
        <f aca="false">calc!$A$16</f>
        <v>7</v>
      </c>
      <c r="E16" s="75" t="n">
        <f aca="false">'L   B'!$E$16</f>
        <v>347.767961630172</v>
      </c>
      <c r="F16" s="63" t="n">
        <f aca="false">'L   B'!$I$16</f>
        <v>250.129533490002</v>
      </c>
      <c r="G16" s="83" t="n">
        <f aca="false">'L   B'!$G$16</f>
        <v>-0.0753531203211843</v>
      </c>
    </row>
    <row r="17" customFormat="false" ht="15" hidden="false" customHeight="false" outlineLevel="0" collapsed="false">
      <c r="D17" s="34" t="n">
        <f aca="false">calc!$A$17</f>
        <v>7.5</v>
      </c>
      <c r="E17" s="75" t="n">
        <f aca="false">'L   B'!$E$17</f>
        <v>348.052671395214</v>
      </c>
      <c r="F17" s="63" t="n">
        <f aca="false">'L   B'!$I$17</f>
        <v>250.150067810238</v>
      </c>
      <c r="G17" s="83" t="n">
        <f aca="false">'L   B'!$G$17</f>
        <v>-0.0750954914963963</v>
      </c>
    </row>
    <row r="18" customFormat="false" ht="15" hidden="false" customHeight="false" outlineLevel="0" collapsed="false">
      <c r="D18" s="34" t="n">
        <f aca="false">calc!$A$18</f>
        <v>8</v>
      </c>
      <c r="E18" s="75" t="n">
        <f aca="false">'L   B'!$E$18</f>
        <v>348.337248648613</v>
      </c>
      <c r="F18" s="63" t="n">
        <f aca="false">'L   B'!$I$18</f>
        <v>250.170602130473</v>
      </c>
      <c r="G18" s="83" t="n">
        <f aca="false">'L   B'!$G$18</f>
        <v>-0.0748361283758389</v>
      </c>
    </row>
    <row r="19" customFormat="false" ht="15" hidden="false" customHeight="false" outlineLevel="0" collapsed="false">
      <c r="D19" s="34" t="n">
        <f aca="false">calc!$A$19</f>
        <v>8.5</v>
      </c>
      <c r="E19" s="75" t="n">
        <f aca="false">'L   B'!$E$19</f>
        <v>348.621693518546</v>
      </c>
      <c r="F19" s="63" t="n">
        <f aca="false">'L   B'!$I$19</f>
        <v>250.191136450248</v>
      </c>
      <c r="G19" s="83" t="n">
        <f aca="false">'L   B'!$G$19</f>
        <v>-0.0745750396133461</v>
      </c>
    </row>
    <row r="20" customFormat="false" ht="15" hidden="false" customHeight="false" outlineLevel="0" collapsed="false">
      <c r="D20" s="34" t="n">
        <f aca="false">calc!$A$20</f>
        <v>9</v>
      </c>
      <c r="E20" s="75" t="n">
        <f aca="false">'L   B'!$E$20</f>
        <v>348.906006155513</v>
      </c>
      <c r="F20" s="63" t="n">
        <f aca="false">'L   B'!$I$20</f>
        <v>250.211670770483</v>
      </c>
      <c r="G20" s="83" t="n">
        <f aca="false">'L   B'!$G$20</f>
        <v>-0.0743122338661173</v>
      </c>
    </row>
    <row r="21" customFormat="false" ht="15" hidden="false" customHeight="false" outlineLevel="0" collapsed="false">
      <c r="D21" s="34" t="n">
        <f aca="false">calc!$A$21</f>
        <v>9.5</v>
      </c>
      <c r="E21" s="75" t="n">
        <f aca="false">'L   B'!$E$21</f>
        <v>349.1901866942</v>
      </c>
      <c r="F21" s="63" t="n">
        <f aca="false">'L   B'!$I$21</f>
        <v>250.232205090717</v>
      </c>
      <c r="G21" s="83" t="n">
        <f aca="false">'L   B'!$G$21</f>
        <v>-0.0740477198295722</v>
      </c>
    </row>
    <row r="22" customFormat="false" ht="15" hidden="false" customHeight="false" outlineLevel="0" collapsed="false">
      <c r="D22" s="34" t="n">
        <f aca="false">calc!$A$22</f>
        <v>10</v>
      </c>
      <c r="E22" s="75" t="n">
        <f aca="false">'L   B'!$E$22</f>
        <v>349.474235272419</v>
      </c>
      <c r="F22" s="63" t="n">
        <f aca="false">'L   B'!$I$22</f>
        <v>250.252739410495</v>
      </c>
      <c r="G22" s="83" t="n">
        <f aca="false">'L   B'!$G$22</f>
        <v>-0.0737815062195385</v>
      </c>
    </row>
    <row r="23" customFormat="false" ht="15" hidden="false" customHeight="false" outlineLevel="0" collapsed="false">
      <c r="D23" s="34" t="n">
        <f aca="false">calc!$A$23</f>
        <v>10.5</v>
      </c>
      <c r="E23" s="75" t="n">
        <f aca="false">'L   B'!$E$23</f>
        <v>349.758152050184</v>
      </c>
      <c r="F23" s="63" t="n">
        <f aca="false">'L   B'!$I$23</f>
        <v>250.273273730727</v>
      </c>
      <c r="G23" s="83" t="n">
        <f aca="false">'L   B'!$G$23</f>
        <v>-0.0735136017540819</v>
      </c>
    </row>
    <row r="24" customFormat="false" ht="15" hidden="false" customHeight="false" outlineLevel="0" collapsed="false">
      <c r="D24" s="34" t="n">
        <f aca="false">calc!$A$24</f>
        <v>11</v>
      </c>
      <c r="E24" s="75" t="n">
        <f aca="false">'L   B'!$E$24</f>
        <v>350.041937171552</v>
      </c>
      <c r="F24" s="63" t="n">
        <f aca="false">'L   B'!$I$24</f>
        <v>250.293808050961</v>
      </c>
      <c r="G24" s="83" t="n">
        <f aca="false">'L   B'!$G$24</f>
        <v>-0.0732440151887183</v>
      </c>
    </row>
    <row r="25" customFormat="false" ht="15" hidden="false" customHeight="false" outlineLevel="0" collapsed="false">
      <c r="D25" s="34" t="n">
        <f aca="false">calc!$A$25</f>
        <v>11.5</v>
      </c>
      <c r="E25" s="75" t="n">
        <f aca="false">'L   B'!$E$25</f>
        <v>350.325590783617</v>
      </c>
      <c r="F25" s="63" t="n">
        <f aca="false">'L   B'!$I$25</f>
        <v>250.314342370739</v>
      </c>
      <c r="G25" s="83" t="n">
        <f aca="false">'L   B'!$G$25</f>
        <v>-0.0729727552985988</v>
      </c>
    </row>
    <row r="26" customFormat="false" ht="15" hidden="false" customHeight="false" outlineLevel="0" collapsed="false">
      <c r="D26" s="34" t="n">
        <f aca="false">calc!$A$26</f>
        <v>12</v>
      </c>
      <c r="E26" s="75" t="n">
        <f aca="false">'L   B'!$E$26</f>
        <v>350.609113055576</v>
      </c>
      <c r="F26" s="63" t="n">
        <f aca="false">'L   B'!$I$26</f>
        <v>250.334876690969</v>
      </c>
      <c r="G26" s="83" t="n">
        <f aca="false">'L   B'!$G$26</f>
        <v>-0.0726998308597072</v>
      </c>
    </row>
    <row r="27" customFormat="false" ht="15" hidden="false" customHeight="false" outlineLevel="0" collapsed="false">
      <c r="D27" s="34" t="n">
        <f aca="false">calc!$A$27</f>
        <v>12.5</v>
      </c>
      <c r="E27" s="75" t="n">
        <f aca="false">'L   B'!$E$27</f>
        <v>350.892504140503</v>
      </c>
      <c r="F27" s="63" t="n">
        <f aca="false">'L   B'!$I$27</f>
        <v>250.355411011205</v>
      </c>
      <c r="G27" s="83" t="n">
        <f aca="false">'L   B'!$G$27</f>
        <v>-0.0724252506849844</v>
      </c>
    </row>
    <row r="28" customFormat="false" ht="15" hidden="false" customHeight="false" outlineLevel="0" collapsed="false">
      <c r="D28" s="34" t="n">
        <f aca="false">calc!$A$28</f>
        <v>13</v>
      </c>
      <c r="E28" s="75" t="n">
        <f aca="false">'L   B'!$E$28</f>
        <v>351.175764194441</v>
      </c>
      <c r="F28" s="63" t="n">
        <f aca="false">'L   B'!$I$28</f>
        <v>250.375945330981</v>
      </c>
      <c r="G28" s="83" t="n">
        <f aca="false">'L   B'!$G$28</f>
        <v>-0.0721490236060689</v>
      </c>
    </row>
    <row r="29" customFormat="false" ht="15" hidden="false" customHeight="false" outlineLevel="0" collapsed="false">
      <c r="D29" s="34" t="n">
        <f aca="false">calc!$A$29</f>
        <v>13.5</v>
      </c>
      <c r="E29" s="75" t="n">
        <f aca="false">'L   B'!$E$29</f>
        <v>351.458893395299</v>
      </c>
      <c r="F29" s="63" t="n">
        <f aca="false">'L   B'!$I$29</f>
        <v>250.396479651216</v>
      </c>
      <c r="G29" s="83" t="n">
        <f aca="false">'L   B'!$G$29</f>
        <v>-0.0718711584541858</v>
      </c>
    </row>
    <row r="30" customFormat="false" ht="15" hidden="false" customHeight="false" outlineLevel="0" collapsed="false">
      <c r="D30" s="34" t="n">
        <f aca="false">calc!$A$30</f>
        <v>14</v>
      </c>
      <c r="E30" s="75" t="n">
        <f aca="false">'L   B'!$E$30</f>
        <v>351.741891904896</v>
      </c>
      <c r="F30" s="63" t="n">
        <f aca="false">'L   B'!$I$30</f>
        <v>250.417013971452</v>
      </c>
      <c r="G30" s="83" t="n">
        <f aca="false">'L   B'!$G$30</f>
        <v>-0.0715916640970417</v>
      </c>
    </row>
    <row r="31" customFormat="false" ht="15" hidden="false" customHeight="false" outlineLevel="0" collapsed="false">
      <c r="D31" s="34" t="n">
        <f aca="false">calc!$A$31</f>
        <v>14.5</v>
      </c>
      <c r="E31" s="75" t="n">
        <f aca="false">'L   B'!$E$31</f>
        <v>352.024759887813</v>
      </c>
      <c r="F31" s="63" t="n">
        <f aca="false">'L   B'!$I$31</f>
        <v>250.437548291227</v>
      </c>
      <c r="G31" s="83" t="n">
        <f aca="false">'L   B'!$G$31</f>
        <v>-0.0713105494200428</v>
      </c>
    </row>
    <row r="32" customFormat="false" ht="15" hidden="false" customHeight="false" outlineLevel="0" collapsed="false">
      <c r="D32" s="34" t="n">
        <f aca="false">calc!$A$32</f>
        <v>15</v>
      </c>
      <c r="E32" s="75" t="n">
        <f aca="false">'L   B'!$E$32</f>
        <v>352.307497530378</v>
      </c>
      <c r="F32" s="63" t="n">
        <f aca="false">'L   B'!$I$32</f>
        <v>250.458082611462</v>
      </c>
      <c r="G32" s="83" t="n">
        <f aca="false">'L   B'!$G$32</f>
        <v>-0.0710278233070548</v>
      </c>
    </row>
    <row r="33" customFormat="false" ht="15" hidden="false" customHeight="false" outlineLevel="0" collapsed="false">
      <c r="D33" s="34" t="n">
        <f aca="false">calc!$A$33</f>
        <v>15.5</v>
      </c>
      <c r="E33" s="75" t="n">
        <f aca="false">'L   B'!$E$33</f>
        <v>352.590105002733</v>
      </c>
      <c r="F33" s="63" t="n">
        <f aca="false">'L   B'!$I$33</f>
        <v>250.478616931696</v>
      </c>
      <c r="G33" s="83" t="n">
        <f aca="false">'L   B'!$G$33</f>
        <v>-0.0707434946778774</v>
      </c>
    </row>
    <row r="34" customFormat="false" ht="15" hidden="false" customHeight="false" outlineLevel="0" collapsed="false">
      <c r="D34" s="34" t="n">
        <f aca="false">calc!$A$34</f>
        <v>16</v>
      </c>
      <c r="E34" s="75" t="n">
        <f aca="false">'L   B'!$E$34</f>
        <v>352.872582477656</v>
      </c>
      <c r="F34" s="63" t="n">
        <f aca="false">'L   B'!$I$34</f>
        <v>250.499151251472</v>
      </c>
      <c r="G34" s="83" t="n">
        <f aca="false">'L   B'!$G$34</f>
        <v>-0.0704575724691371</v>
      </c>
    </row>
    <row r="35" customFormat="false" ht="15" hidden="false" customHeight="false" outlineLevel="0" collapsed="false">
      <c r="D35" s="34" t="n">
        <f aca="false">calc!$A$35</f>
        <v>16.5</v>
      </c>
      <c r="E35" s="75" t="n">
        <f aca="false">'L   B'!$E$35</f>
        <v>353.154930149557</v>
      </c>
      <c r="F35" s="63" t="n">
        <f aca="false">'L   B'!$I$35</f>
        <v>250.519685571706</v>
      </c>
      <c r="G35" s="83" t="n">
        <f aca="false">'L   B'!$G$35</f>
        <v>-0.0701700656148278</v>
      </c>
    </row>
    <row r="36" customFormat="false" ht="15" hidden="false" customHeight="false" outlineLevel="0" collapsed="false">
      <c r="D36" s="34" t="n">
        <f aca="false">calc!$A$36</f>
        <v>17</v>
      </c>
      <c r="E36" s="75" t="n">
        <f aca="false">'L   B'!$E$36</f>
        <v>353.437148196497</v>
      </c>
      <c r="F36" s="63" t="n">
        <f aca="false">'L   B'!$I$36</f>
        <v>250.540219891942</v>
      </c>
      <c r="G36" s="83" t="n">
        <f aca="false">'L   B'!$G$36</f>
        <v>-0.0698809830842299</v>
      </c>
    </row>
    <row r="37" customFormat="false" ht="15" hidden="false" customHeight="false" outlineLevel="0" collapsed="false">
      <c r="D37" s="34" t="n">
        <f aca="false">calc!$A$37</f>
        <v>17.5</v>
      </c>
      <c r="E37" s="75" t="n">
        <f aca="false">'L   B'!$E$37</f>
        <v>353.719236799123</v>
      </c>
      <c r="F37" s="63" t="n">
        <f aca="false">'L   B'!$I$37</f>
        <v>250.560754211714</v>
      </c>
      <c r="G37" s="83" t="n">
        <f aca="false">'L   B'!$G$37</f>
        <v>-0.0695903338627783</v>
      </c>
    </row>
    <row r="38" customFormat="false" ht="15" hidden="false" customHeight="false" outlineLevel="0" collapsed="false">
      <c r="D38" s="34" t="n">
        <f aca="false">calc!$A$38</f>
        <v>18</v>
      </c>
      <c r="E38" s="75" t="n">
        <f aca="false">'L   B'!$E$38</f>
        <v>354.001196159522</v>
      </c>
      <c r="F38" s="63" t="n">
        <f aca="false">'L   B'!$I$38</f>
        <v>250.58128853195</v>
      </c>
      <c r="G38" s="83" t="n">
        <f aca="false">'L   B'!$G$38</f>
        <v>-0.069298126931983</v>
      </c>
    </row>
    <row r="39" customFormat="false" ht="15" hidden="false" customHeight="false" outlineLevel="0" collapsed="false">
      <c r="D39" s="34" t="n">
        <f aca="false">calc!$A$39</f>
        <v>18.5</v>
      </c>
      <c r="E39" s="75" t="n">
        <f aca="false">'L   B'!$E$39</f>
        <v>354.283026463406</v>
      </c>
      <c r="F39" s="63" t="n">
        <f aca="false">'L   B'!$I$39</f>
        <v>250.601822852186</v>
      </c>
      <c r="G39" s="83" t="n">
        <f aca="false">'L   B'!$G$39</f>
        <v>-0.0690043713083084</v>
      </c>
    </row>
    <row r="40" customFormat="false" ht="15" hidden="false" customHeight="false" outlineLevel="0" collapsed="false">
      <c r="D40" s="34" t="n">
        <f aca="false">calc!$A$40</f>
        <v>19</v>
      </c>
      <c r="E40" s="75" t="n">
        <f aca="false">'L   B'!$E$40</f>
        <v>354.56472789887</v>
      </c>
      <c r="F40" s="63" t="n">
        <f aca="false">'L   B'!$I$40</f>
        <v>250.622357171958</v>
      </c>
      <c r="G40" s="83" t="n">
        <f aca="false">'L   B'!$G$40</f>
        <v>-0.0687090760234258</v>
      </c>
    </row>
    <row r="41" customFormat="false" ht="15" hidden="false" customHeight="false" outlineLevel="0" collapsed="false">
      <c r="D41" s="34" t="n">
        <f aca="false">calc!$A$41</f>
        <v>19.5</v>
      </c>
      <c r="E41" s="75" t="n">
        <f aca="false">'L   B'!$E$41</f>
        <v>354.846300675408</v>
      </c>
      <c r="F41" s="63" t="n">
        <f aca="false">'L   B'!$I$41</f>
        <v>250.642891492194</v>
      </c>
      <c r="G41" s="83" t="n">
        <f aca="false">'L   B'!$G$41</f>
        <v>-0.068412250104062</v>
      </c>
    </row>
    <row r="42" customFormat="false" ht="15" hidden="false" customHeight="false" outlineLevel="0" collapsed="false">
      <c r="D42" s="34" t="n">
        <f aca="false">calc!$A$42</f>
        <v>20</v>
      </c>
      <c r="E42" s="75" t="n">
        <f aca="false">'L   B'!$E$42</f>
        <v>355.127744985925</v>
      </c>
      <c r="F42" s="63" t="n">
        <f aca="false">'L   B'!$I$42</f>
        <v>250.663425812429</v>
      </c>
      <c r="G42" s="83" t="n">
        <f aca="false">'L   B'!$G$42</f>
        <v>-0.0681139026114044</v>
      </c>
    </row>
    <row r="43" customFormat="false" ht="15" hidden="false" customHeight="false" outlineLevel="0" collapsed="false">
      <c r="D43" s="34" t="n">
        <f aca="false">calc!$A$43</f>
        <v>20.5</v>
      </c>
      <c r="E43" s="75" t="n">
        <f aca="false">'L   B'!$E$43</f>
        <v>355.409061025697</v>
      </c>
      <c r="F43" s="63" t="n">
        <f aca="false">'L   B'!$I$43</f>
        <v>250.683960132204</v>
      </c>
      <c r="G43" s="83" t="n">
        <f aca="false">'L   B'!$G$43</f>
        <v>-0.0678140426210454</v>
      </c>
    </row>
    <row r="44" customFormat="false" ht="15" hidden="false" customHeight="false" outlineLevel="0" collapsed="false">
      <c r="D44" s="34" t="n">
        <f aca="false">calc!$A$44</f>
        <v>21</v>
      </c>
      <c r="E44" s="75" t="n">
        <f aca="false">'L   B'!$E$44</f>
        <v>355.690249011171</v>
      </c>
      <c r="F44" s="63" t="n">
        <f aca="false">'L   B'!$I$44</f>
        <v>250.704494452439</v>
      </c>
      <c r="G44" s="83" t="n">
        <f aca="false">'L   B'!$G$44</f>
        <v>-0.0675126792026475</v>
      </c>
    </row>
    <row r="45" customFormat="false" ht="15" hidden="false" customHeight="false" outlineLevel="0" collapsed="false">
      <c r="D45" s="34" t="n">
        <f aca="false">calc!$A$45</f>
        <v>21.5</v>
      </c>
      <c r="E45" s="75" t="n">
        <f aca="false">'L   B'!$E$45</f>
        <v>355.971309142157</v>
      </c>
      <c r="F45" s="63" t="n">
        <f aca="false">'L   B'!$I$45</f>
        <v>250.725028772673</v>
      </c>
      <c r="G45" s="83" t="n">
        <f aca="false">'L   B'!$G$45</f>
        <v>-0.0672098214597232</v>
      </c>
    </row>
    <row r="46" customFormat="false" ht="15" hidden="false" customHeight="false" outlineLevel="0" collapsed="false">
      <c r="D46" s="34" t="n">
        <f aca="false">calc!$A$46</f>
        <v>22</v>
      </c>
      <c r="E46" s="75" t="n">
        <f aca="false">'L   B'!$E$46</f>
        <v>356.252241620778</v>
      </c>
      <c r="F46" s="63" t="n">
        <f aca="false">'L   B'!$I$46</f>
        <v>250.745563092449</v>
      </c>
      <c r="G46" s="83" t="n">
        <f aca="false">'L   B'!$G$46</f>
        <v>-0.0669054785096191</v>
      </c>
    </row>
    <row r="47" customFormat="false" ht="15" hidden="false" customHeight="false" outlineLevel="0" collapsed="false">
      <c r="D47" s="34" t="n">
        <f aca="false">calc!$A$47</f>
        <v>22.5</v>
      </c>
      <c r="E47" s="75" t="n">
        <f aca="false">'L   B'!$E$47</f>
        <v>356.533046670051</v>
      </c>
      <c r="F47" s="63" t="n">
        <f aca="false">'L   B'!$I$47</f>
        <v>250.766097412683</v>
      </c>
      <c r="G47" s="83" t="n">
        <f aca="false">'L   B'!$G$47</f>
        <v>-0.066599659462516</v>
      </c>
    </row>
    <row r="48" customFormat="false" ht="15" hidden="false" customHeight="false" outlineLevel="0" collapsed="false">
      <c r="D48" s="34" t="n">
        <f aca="false">calc!$A$48</f>
        <v>23</v>
      </c>
      <c r="E48" s="75" t="n">
        <f aca="false">'L   B'!$E$48</f>
        <v>356.813724496422</v>
      </c>
      <c r="F48" s="63" t="n">
        <f aca="false">'L   B'!$I$48</f>
        <v>250.786631732917</v>
      </c>
      <c r="G48" s="83" t="n">
        <f aca="false">'L   B'!$G$48</f>
        <v>-0.066292373462202</v>
      </c>
    </row>
    <row r="49" customFormat="false" ht="15" hidden="false" customHeight="false" outlineLevel="0" collapsed="false">
      <c r="D49" s="34" t="n">
        <f aca="false">calc!$A$49</f>
        <v>23.5</v>
      </c>
      <c r="E49" s="75" t="n">
        <f aca="false">'L   B'!$E$49</f>
        <v>357.094275308359</v>
      </c>
      <c r="F49" s="63" t="n">
        <f aca="false">'L   B'!$I$49</f>
        <v>250.807166052691</v>
      </c>
      <c r="G49" s="83" t="n">
        <f aca="false">'L   B'!$G$49</f>
        <v>-0.0659836296653954</v>
      </c>
    </row>
    <row r="50" customFormat="false" ht="15" hidden="false" customHeight="false" outlineLevel="0" collapsed="false">
      <c r="D50" s="34" t="n">
        <f aca="false">calc!$A$50</f>
        <v>24</v>
      </c>
      <c r="E50" s="75" t="n">
        <f aca="false">'L   B'!$E$50</f>
        <v>357.374699335299</v>
      </c>
      <c r="F50" s="63" t="n">
        <f aca="false">'L   B'!$I$50</f>
        <v>250.827700372927</v>
      </c>
      <c r="G50" s="83" t="n">
        <f aca="false">'L   B'!$G$50</f>
        <v>-0.0656734372207351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625" defaultRowHeight="15" zeroHeight="false" outlineLevelRow="0" outlineLevelCol="0"/>
  <cols>
    <col collapsed="false" customWidth="false" hidden="false" outlineLevel="0" max="2" min="1" style="57" width="9.59"/>
    <col collapsed="false" customWidth="true" hidden="false" outlineLevel="0" max="3" min="3" style="57" width="11.96"/>
    <col collapsed="false" customWidth="true" hidden="false" outlineLevel="0" max="4" min="4" style="57" width="8.57"/>
    <col collapsed="false" customWidth="true" hidden="false" outlineLevel="0" max="5" min="5" style="34" width="8.12"/>
    <col collapsed="false" customWidth="true" hidden="false" outlineLevel="0" max="6" min="6" style="34" width="9.02"/>
    <col collapsed="false" customWidth="true" hidden="false" outlineLevel="0" max="7" min="7" style="16" width="7.89"/>
    <col collapsed="false" customWidth="true" hidden="false" outlineLevel="0" max="8" min="8" style="34" width="13.76"/>
    <col collapsed="false" customWidth="false" hidden="false" outlineLevel="0" max="9" min="9" style="57" width="9.59"/>
    <col collapsed="false" customWidth="true" hidden="false" outlineLevel="0" max="10" min="10" style="34" width="9.25"/>
    <col collapsed="false" customWidth="true" hidden="false" outlineLevel="0" max="11" min="11" style="52" width="9.02"/>
    <col collapsed="false" customWidth="true" hidden="false" outlineLevel="0" max="12" min="12" style="85" width="9.13"/>
    <col collapsed="false" customWidth="true" hidden="false" outlineLevel="0" max="13" min="13" style="85" width="9.25"/>
    <col collapsed="false" customWidth="true" hidden="false" outlineLevel="0" max="14" min="14" style="85" width="9.48"/>
    <col collapsed="false" customWidth="true" hidden="false" outlineLevel="0" max="15" min="15" style="85" width="8.68"/>
    <col collapsed="false" customWidth="true" hidden="false" outlineLevel="0" max="16" min="16" style="85" width="8.8"/>
    <col collapsed="false" customWidth="true" hidden="false" outlineLevel="0" max="17" min="17" style="85" width="8.68"/>
    <col collapsed="false" customWidth="false" hidden="false" outlineLevel="0" max="18" min="18" style="34" width="9.59"/>
    <col collapsed="false" customWidth="true" hidden="false" outlineLevel="0" max="19" min="19" style="52" width="9.36"/>
    <col collapsed="false" customWidth="true" hidden="false" outlineLevel="0" max="20" min="20" style="34" width="9.25"/>
    <col collapsed="false" customWidth="true" hidden="false" outlineLevel="0" max="21" min="21" style="34" width="8.8"/>
    <col collapsed="false" customWidth="true" hidden="false" outlineLevel="0" max="22" min="22" style="86" width="7.89"/>
    <col collapsed="false" customWidth="true" hidden="false" outlineLevel="0" max="23" min="23" style="34" width="8.12"/>
    <col collapsed="false" customWidth="true" hidden="false" outlineLevel="0" max="24" min="24" style="34" width="8.23"/>
    <col collapsed="false" customWidth="true" hidden="false" outlineLevel="0" max="25" min="25" style="34" width="12.4"/>
    <col collapsed="false" customWidth="false" hidden="false" outlineLevel="0" max="64" min="26" style="1" width="9.59"/>
  </cols>
  <sheetData>
    <row r="1" customFormat="false" ht="15" hidden="false" customHeight="false" outlineLevel="0" collapsed="false">
      <c r="A1" s="2" t="s">
        <v>99</v>
      </c>
      <c r="B1" s="2" t="s">
        <v>22</v>
      </c>
      <c r="C1" s="2" t="s">
        <v>23</v>
      </c>
      <c r="D1" s="61" t="s">
        <v>20</v>
      </c>
      <c r="E1" s="11" t="s">
        <v>24</v>
      </c>
      <c r="F1" s="11" t="s">
        <v>25</v>
      </c>
      <c r="G1" s="70" t="s">
        <v>27</v>
      </c>
      <c r="H1" s="11" t="s">
        <v>28</v>
      </c>
      <c r="I1" s="61" t="s">
        <v>29</v>
      </c>
      <c r="J1" s="11" t="s">
        <v>100</v>
      </c>
      <c r="K1" s="87" t="s">
        <v>31</v>
      </c>
      <c r="L1" s="88" t="s">
        <v>32</v>
      </c>
      <c r="M1" s="88" t="s">
        <v>33</v>
      </c>
      <c r="N1" s="88" t="s">
        <v>43</v>
      </c>
      <c r="O1" s="88" t="s">
        <v>46</v>
      </c>
      <c r="P1" s="88" t="s">
        <v>47</v>
      </c>
      <c r="Q1" s="88" t="s">
        <v>81</v>
      </c>
      <c r="R1" s="11" t="s">
        <v>101</v>
      </c>
      <c r="S1" s="87" t="s">
        <v>50</v>
      </c>
      <c r="T1" s="11" t="s">
        <v>57</v>
      </c>
      <c r="U1" s="11" t="s">
        <v>102</v>
      </c>
      <c r="V1" s="89" t="s">
        <v>103</v>
      </c>
      <c r="W1" s="61" t="n">
        <v>1</v>
      </c>
      <c r="X1" s="61" t="n">
        <v>2</v>
      </c>
      <c r="Y1" s="11" t="s">
        <v>104</v>
      </c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</row>
    <row r="2" customFormat="false" ht="15" hidden="false" customHeight="false" outlineLevel="0" collapsed="false">
      <c r="A2" s="4" t="n">
        <f aca="false">input!$A$2</f>
        <v>1</v>
      </c>
      <c r="B2" s="4" t="n">
        <f aca="false">input!$B$2</f>
        <v>12</v>
      </c>
      <c r="C2" s="4" t="n">
        <f aca="false">input!$C$2</f>
        <v>2022</v>
      </c>
      <c r="D2" s="57" t="n">
        <v>0</v>
      </c>
      <c r="E2" s="34" t="n">
        <f aca="false">ASIN(V2)/$A$7</f>
        <v>-58.4783567162812</v>
      </c>
      <c r="F2" s="34" t="n">
        <f aca="false">E2+1.02/(TAN($A$7*(E2+10.3/(E2+5.11)))*60)</f>
        <v>-58.4887045229128</v>
      </c>
      <c r="G2" s="16" t="n">
        <f aca="false">IF(U2&gt;180,Y2-180,Y2+180)</f>
        <v>32.864534146062</v>
      </c>
      <c r="H2" s="34" t="n">
        <f aca="false">INT(365.25*IF($B$2&gt;2,$C$2+4716,$C$2-1+4716))+INT(30.6001*IF($B$2&gt;2,$B$2+1,$B$2+12+1))+$A$2+D2/24+2-INT(IF($B$2&gt;2,$C$2,$C$2-1)/100)+INT(INT(IF($B$2&gt;2,$C$2,$C$2-1)/100)/4)-1524.5</f>
        <v>2459914.5</v>
      </c>
      <c r="I2" s="57" t="n">
        <f aca="false">(H2-2451545)/36525</f>
        <v>0.229144421629021</v>
      </c>
      <c r="J2" s="34" t="n">
        <f aca="false">MOD(357.5291 + 35999.0503*I2 - 0.0001559*I2^2 - 0.00000048*I2^3,360)</f>
        <v>326.510651995901</v>
      </c>
      <c r="K2" s="52" t="n">
        <f aca="false">MOD(280.46645 + 36000.76983*I2 + 0.0003032*I2^2,360)</f>
        <v>249.84204681504</v>
      </c>
      <c r="L2" s="85" t="n">
        <f aca="false"> MOD((1.9146 - 0.004817*I2 - 0.000014*I2^2)*SIN(J2*$A$7) + (0.019993 - 0.000101*I2)*SIN(2*J2*$A$7) + 0.00029*SIN(3*J2*$A$7),360)</f>
        <v>358.925503121811</v>
      </c>
      <c r="M2" s="85" t="n">
        <f aca="false">MOD(K2+L2,360)</f>
        <v>248.76754993685</v>
      </c>
      <c r="N2" s="85" t="n">
        <f aca="false">COS(M2*$A$7)</f>
        <v>-0.362152543378184</v>
      </c>
      <c r="O2" s="85" t="n">
        <f aca="false">COS((23.4393-46.815*I2/3600)*$A$7)*SIN(M2*$A$7)</f>
        <v>-0.855221541692049</v>
      </c>
      <c r="P2" s="85" t="n">
        <f aca="false">SIN((23.4393-46.815*I2/3600)*$A$7)*SIN(M2*$A$7)</f>
        <v>-0.37073123681528</v>
      </c>
      <c r="Q2" s="85" t="n">
        <f aca="false">SQRT(1-P2^2)</f>
        <v>0.928740195129624</v>
      </c>
      <c r="R2" s="34" t="n">
        <f aca="false">ATAN(P2/Q2)/$A$7</f>
        <v>-21.7607216150371</v>
      </c>
      <c r="S2" s="52" t="n">
        <f aca="false">IF(2*ATAN(O2/(N2+Q2))/$A$7&gt;0, 2*ATAN(O2/(N2+Q2))/$A$7, 2*ATAN(O2/(N2+Q2))/$A$7+360)</f>
        <v>247.049261276544</v>
      </c>
      <c r="T2" s="34" t="n">
        <f aca="false">MOD(280.46061837+360.98564736629*(H2-2451545)+0.000387933*I2^2-I2^3/3871000010 + $B$5,360)</f>
        <v>84.8362709037028</v>
      </c>
      <c r="U2" s="34" t="n">
        <f aca="false">IF(T2-S2&gt;0,T2-S2,T2-S2+360)</f>
        <v>197.787009627159</v>
      </c>
      <c r="V2" s="86" t="n">
        <f aca="false">SIN($A$5*$A$7)*SIN(R2*$A$7) +COS($A$5*$A$7)*COS(R2*$A$7)*COS(U2*$A$7)</f>
        <v>-0.852442731489738</v>
      </c>
      <c r="W2" s="34" t="n">
        <f aca="false">SIN($A$7*U2)</f>
        <v>-0.305479425783577</v>
      </c>
      <c r="X2" s="34" t="n">
        <f aca="false">COS($A$7*U2)*SIN($A$7*$A$5) - TAN($A$7*R2)*COS($A$7*$A$5)</f>
        <v>-0.472840813353042</v>
      </c>
      <c r="Y2" s="34" t="n">
        <f aca="false">IF(OR(AND(W2*X2&gt;0), AND(W2&lt;0,X2&gt;0)), MOD(ATAN2(X2,W2)/$A$7+360,360),  ATAN2(X2,W2)/$A$7)</f>
        <v>212.864534146062</v>
      </c>
    </row>
    <row r="3" customFormat="false" ht="15" hidden="false" customHeight="false" outlineLevel="0" collapsed="false">
      <c r="A3" s="1"/>
      <c r="B3" s="1"/>
      <c r="C3" s="5" t="str">
        <f aca="false">input!$C$3</f>
        <v>common year</v>
      </c>
      <c r="D3" s="57" t="n">
        <v>0.5</v>
      </c>
      <c r="E3" s="34" t="n">
        <f aca="false">ASIN(V3)/$A$7</f>
        <v>-55.4683267872027</v>
      </c>
      <c r="F3" s="34" t="n">
        <f aca="false">E3+1.02/(TAN($A$7*(E3+10.3/(E3+5.11)))*60)</f>
        <v>-55.4799352040747</v>
      </c>
      <c r="G3" s="16" t="n">
        <f aca="false">IF(U3&gt;180,Y3-180,Y3+180)</f>
        <v>44.4091178587224</v>
      </c>
      <c r="H3" s="34" t="n">
        <f aca="false">INT(365.25*IF($B$2&gt;2,$C$2+4716,$C$2-1+4716))+INT(30.6001*IF($B$2&gt;2,$B$2+1,$B$2+12+1))+$A$2+D3/24+2-INT(IF($B$2&gt;2,$C$2,$C$2-1)/100)+INT(INT(IF($B$2&gt;2,$C$2,$C$2-1)/100)/4)-1524.5</f>
        <v>2459914.52083333</v>
      </c>
      <c r="I3" s="57" t="n">
        <f aca="false">(H3-2451545)/36525</f>
        <v>0.229144992014517</v>
      </c>
      <c r="J3" s="34" t="n">
        <f aca="false">MOD(357.5291 + 35999.0503*I3 - 0.0001559*I3^2 - 0.00000048*I3^3,360)</f>
        <v>326.531185335221</v>
      </c>
      <c r="K3" s="52" t="n">
        <f aca="false">MOD(280.46645 + 36000.76983*I3 + 0.0003032*I3^2,360)</f>
        <v>249.862581135274</v>
      </c>
      <c r="L3" s="85" t="n">
        <f aca="false"> MOD((1.9146 - 0.004817*I3 - 0.000014*I3^2)*SIN(J3*$A$7) + (0.019993 - 0.000101*I3)*SIN(2*J3*$A$7) + 0.00029*SIN(3*J3*$A$7),360)</f>
        <v>358.926080642668</v>
      </c>
      <c r="M3" s="85" t="n">
        <f aca="false">MOD(K3+L3,360)</f>
        <v>248.788661777942</v>
      </c>
      <c r="N3" s="85" t="n">
        <f aca="false">COS(M3*$A$7)</f>
        <v>-0.36180905991045</v>
      </c>
      <c r="O3" s="85" t="n">
        <f aca="false">COS((23.4393-46.815*I3/3600)*$A$7)*SIN(M3*PI()/180)</f>
        <v>-0.855343917770839</v>
      </c>
      <c r="P3" s="85" t="n">
        <f aca="false">SIN((23.4393-46.815*I3/3600)*$A$7)*SIN(M3*$A$7)</f>
        <v>-0.370784285669103</v>
      </c>
      <c r="Q3" s="85" t="n">
        <f aca="false">SQRT(1-P3^2)</f>
        <v>0.928719017518675</v>
      </c>
      <c r="R3" s="34" t="n">
        <f aca="false">ATAN(P3/Q3)/$A$7</f>
        <v>-21.7639943387778</v>
      </c>
      <c r="S3" s="52" t="n">
        <f aca="false">IF(2*ATAN(O3/(N3+Q3))/$A$7&gt;0, 2*ATAN(O3/(N3+Q3))/$A$7, 2*ATAN(O3/(N3+Q3))/$A$7+360)</f>
        <v>247.071718439788</v>
      </c>
      <c r="T3" s="34" t="n">
        <f aca="false">MOD(280.46061837+360.98564736629*(H3-2451545)+0.000387933*I3^2-I3^3/3871000010 + $B$5,360)</f>
        <v>92.356805279851</v>
      </c>
      <c r="U3" s="34" t="n">
        <f aca="false">IF(T3-S3&gt;0,T3-S3,T3-S3+360)</f>
        <v>205.285086840063</v>
      </c>
      <c r="V3" s="86" t="n">
        <f aca="false">SIN($A$5*$A$7)*SIN(R3*$A$7) +COS($A$5*$A$7)*COS(R3*$A$7)*COS(U3*$A$7)</f>
        <v>-0.823812952301164</v>
      </c>
      <c r="W3" s="34" t="n">
        <f aca="false">SIN($A$7*U3)</f>
        <v>-0.427122530923799</v>
      </c>
      <c r="X3" s="34" t="n">
        <f aca="false">COS($A$7*U3)*SIN($A$7*$A$5) - TAN($A$7*R3)*COS($A$7*$A$5)</f>
        <v>-0.436024341109791</v>
      </c>
      <c r="Y3" s="34" t="n">
        <f aca="false">IF(OR(AND(W3*X3&gt;0), AND(W3&lt;0,X3&gt;0)), MOD(ATAN2(X3,W3)/$A$7+360,360),  ATAN2(X3,W3)/$A$7)</f>
        <v>224.409117858722</v>
      </c>
    </row>
    <row r="4" customFormat="false" ht="15" hidden="false" customHeight="false" outlineLevel="0" collapsed="false">
      <c r="A4" s="2" t="s">
        <v>3</v>
      </c>
      <c r="B4" s="2" t="s">
        <v>4</v>
      </c>
      <c r="C4" s="1"/>
      <c r="D4" s="57" t="n">
        <v>1</v>
      </c>
      <c r="E4" s="34" t="n">
        <f aca="false">ASIN(V4)/$A$7</f>
        <v>-51.8089686806909</v>
      </c>
      <c r="F4" s="34" t="n">
        <f aca="false">E4+1.02/(TAN($A$7*(E4+10.3/(E4+5.11)))*60)</f>
        <v>-51.8222364319288</v>
      </c>
      <c r="G4" s="16" t="n">
        <f aca="false">IF(U4&gt;180,Y4-180,Y4+180)</f>
        <v>54.4199867513563</v>
      </c>
      <c r="H4" s="34" t="n">
        <f aca="false">INT(365.25*IF($B$2&gt;2,$C$2+4716,$C$2-1+4716))+INT(30.6001*IF($B$2&gt;2,$B$2+1,$B$2+12+1))+$A$2+D4/24+2-INT(IF($B$2&gt;2,$C$2,$C$2-1)/100)+INT(INT(IF($B$2&gt;2,$C$2,$C$2-1)/100)/4)-1524.5</f>
        <v>2459914.54166667</v>
      </c>
      <c r="I4" s="57" t="n">
        <f aca="false">(H4-2451545)/36525</f>
        <v>0.229145562400268</v>
      </c>
      <c r="J4" s="34" t="n">
        <f aca="false">MOD(357.5291 + 35999.0503*I4 - 0.0001559*I4^2 - 0.00000048*I4^3,360)</f>
        <v>326.551718674084</v>
      </c>
      <c r="K4" s="52" t="n">
        <f aca="false">MOD(280.46645 + 36000.76983*I4 + 0.0003032*I4^2,360)</f>
        <v>249.883115455052</v>
      </c>
      <c r="L4" s="85" t="n">
        <f aca="false"> MOD((1.9146 - 0.004817*I4 - 0.000014*I4^2)*SIN(J4*$A$7) + (0.019993 - 0.000101*I4)*SIN(2*J4*$A$7) + 0.00029*SIN(3*J4*$A$7),360)</f>
        <v>358.926658308809</v>
      </c>
      <c r="M4" s="85" t="n">
        <f aca="false">MOD(K4+L4,360)</f>
        <v>248.809773763861</v>
      </c>
      <c r="N4" s="85" t="n">
        <f aca="false">COS(M4*$A$7)</f>
        <v>-0.361465524962749</v>
      </c>
      <c r="O4" s="85" t="n">
        <f aca="false">COS((23.4393-46.815*I4/3600)*$A$7)*SIN(M4*PI()/180)</f>
        <v>-0.855466178557067</v>
      </c>
      <c r="P4" s="85" t="n">
        <f aca="false">SIN((23.4393-46.815*I4/3600)*$A$7)*SIN(M4*$A$7)</f>
        <v>-0.370837284544547</v>
      </c>
      <c r="Q4" s="85" t="n">
        <f aca="false">SQRT(1-P4^2)</f>
        <v>0.928697856351368</v>
      </c>
      <c r="R4" s="34" t="n">
        <f aca="false">ATAN(P4/Q4)/$A$7</f>
        <v>-21.7672640537499</v>
      </c>
      <c r="S4" s="52" t="n">
        <f aca="false">IF(2*ATAN(O4/(N4+Q4))/$A$7&gt;0, 2*ATAN(O4/(N4+Q4))/$A$7, 2*ATAN(O4/(N4+Q4))/$A$7+360)</f>
        <v>247.094176780904</v>
      </c>
      <c r="T4" s="34" t="n">
        <f aca="false">MOD(280.46061837+360.98564736629*(H4-2451545)+0.000387933*I4^2-I4^3/3871000010 + $B$5,360)</f>
        <v>99.8773394878954</v>
      </c>
      <c r="U4" s="34" t="n">
        <f aca="false">IF(T4-S4&gt;0,T4-S4,T4-S4+360)</f>
        <v>212.783162706991</v>
      </c>
      <c r="V4" s="86" t="n">
        <f aca="false">SIN($A$5*$A$7)*SIN(R4*$A$7) +COS($A$5*$A$7)*COS(R4*$A$7)*COS(U4*$A$7)</f>
        <v>-0.785953684873305</v>
      </c>
      <c r="W4" s="34" t="n">
        <f aca="false">SIN($A$7*U4)</f>
        <v>-0.541461172782329</v>
      </c>
      <c r="X4" s="34" t="n">
        <f aca="false">COS($A$7*U4)*SIN($A$7*$A$5) - TAN($A$7*R4)*COS($A$7*$A$5)</f>
        <v>-0.387362505088141</v>
      </c>
      <c r="Y4" s="34" t="n">
        <f aca="false">IF(OR(AND(W4*X4&gt;0), AND(W4&lt;0,X4&gt;0)), MOD(ATAN2(X4,W4)/$A$7+360,360),  ATAN2(X4,W4)/$A$7)</f>
        <v>234.419986751356</v>
      </c>
    </row>
    <row r="5" customFormat="false" ht="15" hidden="false" customHeight="false" outlineLevel="0" collapsed="false">
      <c r="A5" s="4" t="n">
        <f aca="false">input!$D$2</f>
        <v>50</v>
      </c>
      <c r="B5" s="4" t="n">
        <f aca="false">input!$E$2</f>
        <v>15</v>
      </c>
      <c r="C5" s="1"/>
      <c r="D5" s="57" t="n">
        <v>1.5</v>
      </c>
      <c r="E5" s="34" t="n">
        <f aca="false">ASIN(V5)/$A$7</f>
        <v>-47.689988063686</v>
      </c>
      <c r="F5" s="34" t="n">
        <f aca="false">E5+1.02/(TAN($A$7*(E5+10.3/(E5+5.11)))*60)</f>
        <v>-47.7053315663066</v>
      </c>
      <c r="G5" s="16" t="n">
        <f aca="false">IF(U5&gt;180,Y5-180,Y5+180)</f>
        <v>63.122676880069</v>
      </c>
      <c r="H5" s="34" t="n">
        <f aca="false">INT(365.25*IF($B$2&gt;2,$C$2+4716,$C$2-1+4716))+INT(30.6001*IF($B$2&gt;2,$B$2+1,$B$2+12+1))+$A$2+D5/24+2-INT(IF($B$2&gt;2,$C$2,$C$2-1)/100)+INT(INT(IF($B$2&gt;2,$C$2,$C$2-1)/100)/4)-1524.5</f>
        <v>2459914.5625</v>
      </c>
      <c r="I5" s="57" t="n">
        <f aca="false">(H5-2451545)/36525</f>
        <v>0.229146132785763</v>
      </c>
      <c r="J5" s="34" t="n">
        <f aca="false">MOD(357.5291 + 35999.0503*I5 - 0.0001559*I5^2 - 0.00000048*I5^3,360)</f>
        <v>326.572252013404</v>
      </c>
      <c r="K5" s="52" t="n">
        <f aca="false">MOD(280.46645 + 36000.76983*I5 + 0.0003032*I5^2,360)</f>
        <v>249.903649775286</v>
      </c>
      <c r="L5" s="85" t="n">
        <f aca="false"> MOD((1.9146 - 0.004817*I5 - 0.000014*I5^2)*SIN(J5*$A$7) + (0.019993 - 0.000101*I5)*SIN(2*J5*$A$7) + 0.00029*SIN(3*J5*$A$7),360)</f>
        <v>358.927236120184</v>
      </c>
      <c r="M5" s="85" t="n">
        <f aca="false">MOD(K5+L5,360)</f>
        <v>248.83088589547</v>
      </c>
      <c r="N5" s="85" t="n">
        <f aca="false">COS(M5*$A$7)</f>
        <v>-0.36112193856667</v>
      </c>
      <c r="O5" s="85" t="n">
        <f aca="false">COS((23.4393-46.815*I5/3600)*$A$7)*SIN(M5*PI()/180)</f>
        <v>-0.855588324036729</v>
      </c>
      <c r="P5" s="85" t="n">
        <f aca="false">SIN((23.4393-46.815*I5/3600)*$A$7)*SIN(M5*$A$7)</f>
        <v>-0.370890233435542</v>
      </c>
      <c r="Q5" s="85" t="n">
        <f aca="false">SQRT(1-P5^2)</f>
        <v>0.928676711639809</v>
      </c>
      <c r="R5" s="34" t="n">
        <f aca="false">ATAN(P5/Q5)/$A$7</f>
        <v>-21.7705307593842</v>
      </c>
      <c r="S5" s="52" t="n">
        <f aca="false">IF(2*ATAN(O5/(N5+Q5))/$A$7&gt;0, 2*ATAN(O5/(N5+Q5))/$A$7, 2*ATAN(O5/(N5+Q5))/$A$7+360)</f>
        <v>247.116636300099</v>
      </c>
      <c r="T5" s="34" t="n">
        <f aca="false">MOD(280.46061837+360.98564736629*(H5-2451545)+0.000387933*I5^2-I5^3/3871000010 + $B$5,360)</f>
        <v>107.397873864044</v>
      </c>
      <c r="U5" s="34" t="n">
        <f aca="false">IF(T5-S5&gt;0,T5-S5,T5-S5+360)</f>
        <v>220.281237563945</v>
      </c>
      <c r="V5" s="86" t="n">
        <f aca="false">SIN($A$5*$A$7)*SIN(R5*$A$7) +COS($A$5*$A$7)*COS(R5*$A$7)*COS(U5*$A$7)</f>
        <v>-0.739513480637058</v>
      </c>
      <c r="W5" s="34" t="n">
        <f aca="false">SIN($A$7*U5)</f>
        <v>-0.646539996671439</v>
      </c>
      <c r="X5" s="34" t="n">
        <f aca="false">COS($A$7*U5)*SIN($A$7*$A$5) - TAN($A$7*R5)*COS($A$7*$A$5)</f>
        <v>-0.327686772158016</v>
      </c>
      <c r="Y5" s="34" t="n">
        <f aca="false">IF(OR(AND(W5*X5&gt;0), AND(W5&lt;0,X5&gt;0)), MOD(ATAN2(X5,W5)/$A$7+360,360),  ATAN2(X5,W5)/$A$7)</f>
        <v>243.122676880069</v>
      </c>
    </row>
    <row r="6" customFormat="false" ht="15" hidden="false" customHeight="false" outlineLevel="0" collapsed="false">
      <c r="A6" s="1"/>
      <c r="B6" s="1"/>
      <c r="C6" s="1"/>
      <c r="D6" s="57" t="n">
        <v>2</v>
      </c>
      <c r="E6" s="34" t="n">
        <f aca="false">ASIN(V6)/$A$7</f>
        <v>-43.2582298968001</v>
      </c>
      <c r="F6" s="34" t="n">
        <f aca="false">E6+1.02/(TAN($A$7*(E6+10.3/(E6+5.11)))*60)</f>
        <v>-43.2761264913574</v>
      </c>
      <c r="G6" s="16" t="n">
        <f aca="false">IF(U6&gt;180,Y6-180,Y6+180)</f>
        <v>70.7913068727298</v>
      </c>
      <c r="H6" s="34" t="n">
        <f aca="false">INT(365.25*IF($B$2&gt;2,$C$2+4716,$C$2-1+4716))+INT(30.6001*IF($B$2&gt;2,$B$2+1,$B$2+12+1))+$A$2+D6/24+2-INT(IF($B$2&gt;2,$C$2,$C$2-1)/100)+INT(INT(IF($B$2&gt;2,$C$2,$C$2-1)/100)/4)-1524.5</f>
        <v>2459914.58333333</v>
      </c>
      <c r="I6" s="57" t="n">
        <f aca="false">(H6-2451545)/36525</f>
        <v>0.229146703171259</v>
      </c>
      <c r="J6" s="34" t="n">
        <f aca="false">MOD(357.5291 + 35999.0503*I6 - 0.0001559*I6^2 - 0.00000048*I6^3,360)</f>
        <v>326.592785352723</v>
      </c>
      <c r="K6" s="52" t="n">
        <f aca="false">MOD(280.46645 + 36000.76983*I6 + 0.0003032*I6^2,360)</f>
        <v>249.924184095522</v>
      </c>
      <c r="L6" s="85" t="n">
        <f aca="false"> MOD((1.9146 - 0.004817*I6 - 0.000014*I6^2)*SIN(J6*$A$7) + (0.019993 - 0.000101*I6)*SIN(2*J6*$A$7) + 0.00029*SIN(3*J6*$A$7),360)</f>
        <v>358.927814076702</v>
      </c>
      <c r="M6" s="85" t="n">
        <f aca="false">MOD(K6+L6,360)</f>
        <v>248.851998172224</v>
      </c>
      <c r="N6" s="85" t="n">
        <f aca="false">COS(M6*$A$7)</f>
        <v>-0.360778300776704</v>
      </c>
      <c r="O6" s="85" t="n">
        <f aca="false">COS((23.4393-46.815*I6/3600)*$A$7)*SIN(M6*PI()/180)</f>
        <v>-0.855710354187696</v>
      </c>
      <c r="P6" s="85" t="n">
        <f aca="false">SIN((23.4393-46.815*I6/3600)*$A$7)*SIN(M6*$A$7)</f>
        <v>-0.370943132332494</v>
      </c>
      <c r="Q6" s="85" t="n">
        <f aca="false">SQRT(1-P6^2)</f>
        <v>0.928655583397504</v>
      </c>
      <c r="R6" s="34" t="n">
        <f aca="false">ATAN(P6/Q6)/$A$7</f>
        <v>-21.7737944548936</v>
      </c>
      <c r="S6" s="52" t="n">
        <f aca="false">IF(2*ATAN(O6/(N6+Q6))/$A$7&gt;0, 2*ATAN(O6/(N6+Q6))/$A$7, 2*ATAN(O6/(N6+Q6))/$A$7+360)</f>
        <v>247.13909699608</v>
      </c>
      <c r="T6" s="34" t="n">
        <f aca="false">MOD(280.46061837+360.98564736629*(H6-2451545)+0.000387933*I6^2-I6^3/3871000010 + $B$5,360)</f>
        <v>114.918408240657</v>
      </c>
      <c r="U6" s="34" t="n">
        <f aca="false">IF(T6-S6&gt;0,T6-S6,T6-S6+360)</f>
        <v>227.779311244577</v>
      </c>
      <c r="V6" s="86" t="n">
        <f aca="false">SIN($A$5*$A$7)*SIN(R6*$A$7) +COS($A$5*$A$7)*COS(R6*$A$7)*COS(U6*$A$7)</f>
        <v>-0.685287605586962</v>
      </c>
      <c r="W6" s="34" t="n">
        <f aca="false">SIN($A$7*U6)</f>
        <v>-0.740561998492139</v>
      </c>
      <c r="X6" s="34" t="n">
        <f aca="false">COS($A$7*U6)*SIN($A$7*$A$5) - TAN($A$7*R6)*COS($A$7*$A$5)</f>
        <v>-0.25801696648615</v>
      </c>
      <c r="Y6" s="34" t="n">
        <f aca="false">IF(OR(AND(W6*X6&gt;0), AND(W6&lt;0,X6&gt;0)), MOD(ATAN2(X6,W6)/$A$7+360,360),  ATAN2(X6,W6)/$A$7)</f>
        <v>250.79130687273</v>
      </c>
    </row>
    <row r="7" customFormat="false" ht="15" hidden="false" customHeight="false" outlineLevel="0" collapsed="false">
      <c r="A7" s="1" t="n">
        <f aca="false">PI()/180</f>
        <v>0.0174532925199433</v>
      </c>
      <c r="B7" s="1"/>
      <c r="C7" s="57" t="s">
        <v>5</v>
      </c>
      <c r="D7" s="57" t="n">
        <v>2.5</v>
      </c>
      <c r="E7" s="34" t="n">
        <f aca="false">ASIN(V7)/$A$7</f>
        <v>-38.6238186634777</v>
      </c>
      <c r="F7" s="34" t="n">
        <f aca="false">E7+1.02/(TAN($A$7*(E7+10.3/(E7+5.11)))*60)</f>
        <v>-38.6448635690098</v>
      </c>
      <c r="G7" s="16" t="n">
        <f aca="false">IF(U7&gt;180,Y7-180,Y7+180)</f>
        <v>77.6776127368494</v>
      </c>
      <c r="H7" s="34" t="n">
        <f aca="false">INT(365.25*IF($B$2&gt;2,$C$2+4716,$C$2-1+4716))+INT(30.6001*IF($B$2&gt;2,$B$2+1,$B$2+12+1))+$A$2+D7/24+2-INT(IF($B$2&gt;2,$C$2,$C$2-1)/100)+INT(INT(IF($B$2&gt;2,$C$2,$C$2-1)/100)/4)-1524.5</f>
        <v>2459914.60416667</v>
      </c>
      <c r="I7" s="57" t="n">
        <f aca="false">(H7-2451545)/36525</f>
        <v>0.229147273557009</v>
      </c>
      <c r="J7" s="34" t="n">
        <f aca="false">MOD(357.5291 + 35999.0503*I7 - 0.0001559*I7^2 - 0.00000048*I7^3,360)</f>
        <v>326.613318691587</v>
      </c>
      <c r="K7" s="52" t="n">
        <f aca="false">MOD(280.46645 + 36000.76983*I7 + 0.0003032*I7^2,360)</f>
        <v>249.9447184153</v>
      </c>
      <c r="L7" s="85" t="n">
        <f aca="false"> MOD((1.9146 - 0.004817*I7 - 0.000014*I7^2)*SIN(J7*$A$7) + (0.019993 - 0.000101*I7)*SIN(2*J7*$A$7) + 0.00029*SIN(3*J7*$A$7),360)</f>
        <v>358.928392178275</v>
      </c>
      <c r="M7" s="85" t="n">
        <f aca="false">MOD(K7+L7,360)</f>
        <v>248.873110593575</v>
      </c>
      <c r="N7" s="85" t="n">
        <f aca="false">COS(M7*$A$7)</f>
        <v>-0.360434611647438</v>
      </c>
      <c r="O7" s="85" t="n">
        <f aca="false">COS((23.4393-46.815*I7/3600)*$A$7)*SIN(M7*PI()/180)</f>
        <v>-0.855832268987831</v>
      </c>
      <c r="P7" s="85" t="n">
        <f aca="false">SIN((23.4393-46.815*I7/3600)*$A$7)*SIN(M7*$A$7)</f>
        <v>-0.370995981225808</v>
      </c>
      <c r="Q7" s="85" t="n">
        <f aca="false">SQRT(1-P7^2)</f>
        <v>0.928634471637953</v>
      </c>
      <c r="R7" s="34" t="n">
        <f aca="false">ATAN(P7/Q7)/$A$7</f>
        <v>-21.7770551394914</v>
      </c>
      <c r="S7" s="52" t="n">
        <f aca="false">IF(2*ATAN(O7/(N7+Q7))/$A$7&gt;0, 2*ATAN(O7/(N7+Q7))/$A$7, 2*ATAN(O7/(N7+Q7))/$A$7+360)</f>
        <v>247.161558867551</v>
      </c>
      <c r="T7" s="34" t="n">
        <f aca="false">MOD(280.46061837+360.98564736629*(H7-2451545)+0.000387933*I7^2-I7^3/3871000010 + $B$5,360)</f>
        <v>122.438942448702</v>
      </c>
      <c r="U7" s="34" t="n">
        <f aca="false">IF(T7-S7&gt;0,T7-S7,T7-S7+360)</f>
        <v>235.277383581151</v>
      </c>
      <c r="V7" s="86" t="n">
        <f aca="false">SIN($A$5*$A$7)*SIN(R7*$A$7) +COS($A$5*$A$7)*COS(R7*$A$7)*COS(U7*$A$7)</f>
        <v>-0.624204431871842</v>
      </c>
      <c r="W7" s="34" t="n">
        <f aca="false">SIN($A$7*U7)</f>
        <v>-0.821919264725678</v>
      </c>
      <c r="X7" s="34" t="n">
        <f aca="false">COS($A$7*U7)*SIN($A$7*$A$5) - TAN($A$7*R7)*COS($A$7*$A$5)</f>
        <v>-0.179543826582231</v>
      </c>
      <c r="Y7" s="34" t="n">
        <f aca="false">IF(OR(AND(W7*X7&gt;0), AND(W7&lt;0,X7&gt;0)), MOD(ATAN2(X7,W7)/$A$7+360,360),  ATAN2(X7,W7)/$A$7)</f>
        <v>257.677612736849</v>
      </c>
    </row>
    <row r="8" customFormat="false" ht="15" hidden="false" customHeight="false" outlineLevel="0" collapsed="false">
      <c r="A8" s="30" t="s">
        <v>72</v>
      </c>
      <c r="B8" s="1"/>
      <c r="C8" s="57" t="s">
        <v>73</v>
      </c>
      <c r="D8" s="57" t="n">
        <v>3</v>
      </c>
      <c r="E8" s="34" t="n">
        <f aca="false">ASIN(V8)/$A$7</f>
        <v>-33.8699386894793</v>
      </c>
      <c r="F8" s="34" t="n">
        <f aca="false">E8+1.02/(TAN($A$7*(E8+10.3/(E8+5.11)))*60)</f>
        <v>-33.8949270821167</v>
      </c>
      <c r="G8" s="16" t="n">
        <f aca="false">IF(U8&gt;180,Y8-180,Y8+180)</f>
        <v>83.9905810713401</v>
      </c>
      <c r="H8" s="34" t="n">
        <f aca="false">INT(365.25*IF($B$2&gt;2,$C$2+4716,$C$2-1+4716))+INT(30.6001*IF($B$2&gt;2,$B$2+1,$B$2+12+1))+$A$2+D8/24+2-INT(IF($B$2&gt;2,$C$2,$C$2-1)/100)+INT(INT(IF($B$2&gt;2,$C$2,$C$2-1)/100)/4)-1524.5</f>
        <v>2459914.625</v>
      </c>
      <c r="I8" s="57" t="n">
        <f aca="false">(H8-2451545)/36525</f>
        <v>0.229147843942505</v>
      </c>
      <c r="J8" s="34" t="n">
        <f aca="false">MOD(357.5291 + 35999.0503*I8 - 0.0001559*I8^2 - 0.00000048*I8^3,360)</f>
        <v>326.633852030907</v>
      </c>
      <c r="K8" s="52" t="n">
        <f aca="false">MOD(280.46645 + 36000.76983*I8 + 0.0003032*I8^2,360)</f>
        <v>249.965252735536</v>
      </c>
      <c r="L8" s="85" t="n">
        <f aca="false"> MOD((1.9146 - 0.004817*I8 - 0.000014*I8^2)*SIN(J8*$A$7) + (0.019993 - 0.000101*I8)*SIN(2*J8*$A$7) + 0.00029*SIN(3*J8*$A$7),360)</f>
        <v>358.928970424853</v>
      </c>
      <c r="M8" s="85" t="n">
        <f aca="false">MOD(K8+L8,360)</f>
        <v>248.894223160388</v>
      </c>
      <c r="N8" s="85" t="n">
        <f aca="false">COS(M8*$A$7)</f>
        <v>-0.360090871210432</v>
      </c>
      <c r="O8" s="85" t="n">
        <f aca="false">COS((23.4393-46.815*I8/3600)*$A$7)*SIN(M8*PI()/180)</f>
        <v>-0.855954068423189</v>
      </c>
      <c r="P8" s="85" t="n">
        <f aca="false">SIN((23.4393-46.815*I8/3600)*$A$7)*SIN(M8*$A$7)</f>
        <v>-0.371048780109439</v>
      </c>
      <c r="Q8" s="85" t="n">
        <f aca="false">SQRT(1-P8^2)</f>
        <v>0.928613376373234</v>
      </c>
      <c r="R8" s="34" t="n">
        <f aca="false">ATAN(P8/Q8)/$A$7</f>
        <v>-21.7803128126097</v>
      </c>
      <c r="S8" s="52" t="n">
        <f aca="false">IF(2*ATAN(O8/(N8+Q8))/$A$7&gt;0, 2*ATAN(O8/(N8+Q8))/$A$7, 2*ATAN(O8/(N8+Q8))/$A$7+360)</f>
        <v>247.184021914719</v>
      </c>
      <c r="T8" s="34" t="n">
        <f aca="false">MOD(280.46061837+360.98564736629*(H8-2451545)+0.000387933*I8^2-I8^3/3871000010 + $B$5,360)</f>
        <v>129.95947682485</v>
      </c>
      <c r="U8" s="34" t="n">
        <f aca="false">IF(T8-S8&gt;0,T8-S8,T8-S8+360)</f>
        <v>242.775454910131</v>
      </c>
      <c r="V8" s="86" t="n">
        <f aca="false">SIN($A$5*$A$7)*SIN(R8*$A$7) +COS($A$5*$A$7)*COS(R8*$A$7)*COS(U8*$A$7)</f>
        <v>-0.557309550644531</v>
      </c>
      <c r="W8" s="34" t="n">
        <f aca="false">SIN($A$7*U8)</f>
        <v>-0.889220474299633</v>
      </c>
      <c r="X8" s="34" t="n">
        <f aca="false">COS($A$7*U8)*SIN($A$7*$A$5) - TAN($A$7*R8)*COS($A$7*$A$5)</f>
        <v>-0.0936086354511038</v>
      </c>
      <c r="Y8" s="34" t="n">
        <f aca="false">IF(OR(AND(W8*X8&gt;0), AND(W8&lt;0,X8&gt;0)), MOD(ATAN2(X8,W8)/$A$7+360,360),  ATAN2(X8,W8)/$A$7)</f>
        <v>263.99058107134</v>
      </c>
    </row>
    <row r="9" customFormat="false" ht="15" hidden="false" customHeight="false" outlineLevel="0" collapsed="false">
      <c r="A9" s="1"/>
      <c r="B9" s="1"/>
      <c r="C9" s="57" t="s">
        <v>105</v>
      </c>
      <c r="D9" s="57" t="n">
        <v>3.5</v>
      </c>
      <c r="E9" s="34" t="n">
        <f aca="false">ASIN(V9)/$A$7</f>
        <v>-29.0614840243757</v>
      </c>
      <c r="F9" s="34" t="n">
        <f aca="false">E9+1.02/(TAN($A$7*(E9+10.3/(E9+5.11)))*60)</f>
        <v>-29.091541801704</v>
      </c>
      <c r="G9" s="16" t="n">
        <f aca="false">IF(U9&gt;180,Y9-180,Y9+180)</f>
        <v>89.8977243230437</v>
      </c>
      <c r="H9" s="34" t="n">
        <f aca="false">INT(365.25*IF($B$2&gt;2,$C$2+4716,$C$2-1+4716))+INT(30.6001*IF($B$2&gt;2,$B$2+1,$B$2+12+1))+$A$2+D9/24+2-INT(IF($B$2&gt;2,$C$2,$C$2-1)/100)+INT(INT(IF($B$2&gt;2,$C$2,$C$2-1)/100)/4)-1524.5</f>
        <v>2459914.64583333</v>
      </c>
      <c r="I9" s="57" t="n">
        <f aca="false">(H9-2451545)/36525</f>
        <v>0.229148414328001</v>
      </c>
      <c r="J9" s="34" t="n">
        <f aca="false">MOD(357.5291 + 35999.0503*I9 - 0.0001559*I9^2 - 0.00000048*I9^3,360)</f>
        <v>326.654385370226</v>
      </c>
      <c r="K9" s="52" t="n">
        <f aca="false">MOD(280.46645 + 36000.76983*I9 + 0.0003032*I9^2,360)</f>
        <v>249.98578705577</v>
      </c>
      <c r="L9" s="85" t="n">
        <f aca="false"> MOD((1.9146 - 0.004817*I9 - 0.000014*I9^2)*SIN(J9*$A$7) + (0.019993 - 0.000101*I9)*SIN(2*J9*$A$7) + 0.00029*SIN(3*J9*$A$7),360)</f>
        <v>358.929548816345</v>
      </c>
      <c r="M9" s="85" t="n">
        <f aca="false">MOD(K9+L9,360)</f>
        <v>248.915335872115</v>
      </c>
      <c r="N9" s="85" t="n">
        <f aca="false">COS(M9*$A$7)</f>
        <v>-0.359747079520299</v>
      </c>
      <c r="O9" s="85" t="n">
        <f aca="false">COS((23.4393-46.815*I9/3600)*$A$7)*SIN(M9*PI()/180)</f>
        <v>-0.856075752471662</v>
      </c>
      <c r="P9" s="85" t="n">
        <f aca="false">SIN((23.4393-46.815*I9/3600)*$A$7)*SIN(M9*$A$7)</f>
        <v>-0.371101528973803</v>
      </c>
      <c r="Q9" s="85" t="n">
        <f aca="false">SQRT(1-P9^2)</f>
        <v>0.928592297616831</v>
      </c>
      <c r="R9" s="34" t="n">
        <f aca="false">ATAN(P9/Q9)/$A$7</f>
        <v>-21.7835674734625</v>
      </c>
      <c r="S9" s="52" t="n">
        <f aca="false">IF(2*ATAN(O9/(N9+Q9))/$A$7&gt;0, 2*ATAN(O9/(N9+Q9))/$A$7, 2*ATAN(O9/(N9+Q9))/$A$7+360)</f>
        <v>247.206486136284</v>
      </c>
      <c r="T9" s="34" t="n">
        <f aca="false">MOD(280.46061837+360.98564736629*(H9-2451545)+0.000387933*I9^2-I9^3/3871000010 + $B$5,360)</f>
        <v>137.480011200998</v>
      </c>
      <c r="U9" s="34" t="n">
        <f aca="false">IF(T9-S9&gt;0,T9-S9,T9-S9+360)</f>
        <v>250.273525064714</v>
      </c>
      <c r="V9" s="86" t="n">
        <f aca="false">SIN($A$5*$A$7)*SIN(R9*$A$7) +COS($A$5*$A$7)*COS(R9*$A$7)*COS(U9*$A$7)</f>
        <v>-0.48574789416535</v>
      </c>
      <c r="W9" s="34" t="n">
        <f aca="false">SIN($A$7*U9)</f>
        <v>-0.941314681088687</v>
      </c>
      <c r="X9" s="34" t="n">
        <f aca="false">COS($A$7*U9)*SIN($A$7*$A$5) - TAN($A$7*R9)*COS($A$7*$A$5)</f>
        <v>-0.00168029302176803</v>
      </c>
      <c r="Y9" s="34" t="n">
        <f aca="false">IF(OR(AND(W9*X9&gt;0), AND(W9&lt;0,X9&gt;0)), MOD(ATAN2(X9,W9)/$A$7+360,360),  ATAN2(X9,W9)/$A$7)</f>
        <v>269.897724323044</v>
      </c>
    </row>
    <row r="10" customFormat="false" ht="15" hidden="false" customHeight="false" outlineLevel="0" collapsed="false">
      <c r="A10" s="1"/>
      <c r="B10" s="1"/>
      <c r="C10" s="1"/>
      <c r="D10" s="57" t="n">
        <v>4</v>
      </c>
      <c r="E10" s="34" t="n">
        <f aca="false">ASIN(V10)/$A$7</f>
        <v>-24.2515895973624</v>
      </c>
      <c r="F10" s="34" t="n">
        <f aca="false">E10+1.02/(TAN($A$7*(E10+10.3/(E10+5.11)))*60)</f>
        <v>-24.2883983704064</v>
      </c>
      <c r="G10" s="16" t="n">
        <f aca="false">IF(U10&gt;180,Y10-180,Y10+180)</f>
        <v>95.5328444294607</v>
      </c>
      <c r="H10" s="34" t="n">
        <f aca="false">INT(365.25*IF($B$2&gt;2,$C$2+4716,$C$2-1+4716))+INT(30.6001*IF($B$2&gt;2,$B$2+1,$B$2+12+1))+$A$2+D10/24+2-INT(IF($B$2&gt;2,$C$2,$C$2-1)/100)+INT(INT(IF($B$2&gt;2,$C$2,$C$2-1)/100)/4)-1524.5</f>
        <v>2459914.66666667</v>
      </c>
      <c r="I10" s="57" t="n">
        <f aca="false">(H10-2451545)/36525</f>
        <v>0.229148984713751</v>
      </c>
      <c r="J10" s="34" t="n">
        <f aca="false">MOD(357.5291 + 35999.0503*I10 - 0.0001559*I10^2 - 0.00000048*I10^3,360)</f>
        <v>326.674918709088</v>
      </c>
      <c r="K10" s="52" t="n">
        <f aca="false">MOD(280.46645 + 36000.76983*I10 + 0.0003032*I10^2,360)</f>
        <v>250.006321375548</v>
      </c>
      <c r="L10" s="85" t="n">
        <f aca="false"> MOD((1.9146 - 0.004817*I10 - 0.000014*I10^2)*SIN(J10*$A$7) + (0.019993 - 0.000101*I10)*SIN(2*J10*$A$7) + 0.00029*SIN(3*J10*$A$7),360)</f>
        <v>358.930127352662</v>
      </c>
      <c r="M10" s="85" t="n">
        <f aca="false">MOD(K10+L10,360)</f>
        <v>248.93644872821</v>
      </c>
      <c r="N10" s="85" t="n">
        <f aca="false">COS(M10*$A$7)</f>
        <v>-0.35940323663157</v>
      </c>
      <c r="O10" s="85" t="n">
        <f aca="false">COS((23.4393-46.815*I10/3600)*$A$7)*SIN(M10*PI()/180)</f>
        <v>-0.856197321111204</v>
      </c>
      <c r="P10" s="85" t="n">
        <f aca="false">SIN((23.4393-46.815*I10/3600)*$A$7)*SIN(M10*$A$7)</f>
        <v>-0.371154227809343</v>
      </c>
      <c r="Q10" s="85" t="n">
        <f aca="false">SQRT(1-P10^2)</f>
        <v>0.928571235382214</v>
      </c>
      <c r="R10" s="34" t="n">
        <f aca="false">ATAN(P10/Q10)/$A$7</f>
        <v>-21.7868191212654</v>
      </c>
      <c r="S10" s="52" t="n">
        <f aca="false">IF(2*ATAN(O10/(N10+Q10))/$A$7&gt;0, 2*ATAN(O10/(N10+Q10))/$A$7, 2*ATAN(O10/(N10+Q10))/$A$7+360)</f>
        <v>247.228951530953</v>
      </c>
      <c r="T10" s="34" t="n">
        <f aca="false">MOD(280.46061837+360.98564736629*(H10-2451545)+0.000387933*I10^2-I10^3/3871000010 + $B$5,360)</f>
        <v>145.000545409042</v>
      </c>
      <c r="U10" s="34" t="n">
        <f aca="false">IF(T10-S10&gt;0,T10-S10,T10-S10+360)</f>
        <v>257.77159387809</v>
      </c>
      <c r="V10" s="86" t="n">
        <f aca="false">SIN($A$5*$A$7)*SIN(R10*$A$7) +COS($A$5*$A$7)*COS(R10*$A$7)*COS(U10*$A$7)</f>
        <v>-0.410744148115085</v>
      </c>
      <c r="W10" s="34" t="n">
        <f aca="false">SIN($A$7*U10)</f>
        <v>-0.977311003484258</v>
      </c>
      <c r="X10" s="34" t="n">
        <f aca="false">COS($A$7*U10)*SIN($A$7*$A$5) - TAN($A$7*R10)*COS($A$7*$A$5)</f>
        <v>0.0946698089927235</v>
      </c>
      <c r="Y10" s="34" t="n">
        <f aca="false">IF(OR(AND(W10*X10&gt;0), AND(W10&lt;0,X10&gt;0)), MOD(ATAN2(X10,W10)/$A$7+360,360),  ATAN2(X10,W10)/$A$7)</f>
        <v>275.532844429461</v>
      </c>
    </row>
    <row r="11" customFormat="false" ht="15" hidden="false" customHeight="false" outlineLevel="0" collapsed="false">
      <c r="A11" s="1"/>
      <c r="B11" s="1"/>
      <c r="C11" s="1"/>
      <c r="D11" s="57" t="n">
        <v>4.5</v>
      </c>
      <c r="E11" s="34" t="n">
        <f aca="false">ASIN(V11)/$A$7</f>
        <v>-19.4863209388707</v>
      </c>
      <c r="F11" s="34" t="n">
        <f aca="false">E11+1.02/(TAN($A$7*(E11+10.3/(E11+5.11)))*60)</f>
        <v>-19.5325186765877</v>
      </c>
      <c r="G11" s="16" t="n">
        <f aca="false">IF(U11&gt;180,Y11-180,Y11+180)</f>
        <v>101.004234855973</v>
      </c>
      <c r="H11" s="34" t="n">
        <f aca="false">INT(365.25*IF($B$2&gt;2,$C$2+4716,$C$2-1+4716))+INT(30.6001*IF($B$2&gt;2,$B$2+1,$B$2+12+1))+$A$2+D11/24+2-INT(IF($B$2&gt;2,$C$2,$C$2-1)/100)+INT(INT(IF($B$2&gt;2,$C$2,$C$2-1)/100)/4)-1524.5</f>
        <v>2459914.6875</v>
      </c>
      <c r="I11" s="57" t="n">
        <f aca="false">(H11-2451545)/36525</f>
        <v>0.229149555099247</v>
      </c>
      <c r="J11" s="34" t="n">
        <f aca="false">MOD(357.5291 + 35999.0503*I11 - 0.0001559*I11^2 - 0.00000048*I11^3,360)</f>
        <v>326.695452048409</v>
      </c>
      <c r="K11" s="52" t="n">
        <f aca="false">MOD(280.46645 + 36000.76983*I11 + 0.0003032*I11^2,360)</f>
        <v>250.026855695784</v>
      </c>
      <c r="L11" s="85" t="n">
        <f aca="false"> MOD((1.9146 - 0.004817*I11 - 0.000014*I11^2)*SIN(J11*$A$7) + (0.019993 - 0.000101*I11)*SIN(2*J11*$A$7) + 0.00029*SIN(3*J11*$A$7),360)</f>
        <v>358.930706033755</v>
      </c>
      <c r="M11" s="85" t="n">
        <f aca="false">MOD(K11+L11,360)</f>
        <v>248.957561729539</v>
      </c>
      <c r="N11" s="85" t="n">
        <f aca="false">COS(M11*$A$7)</f>
        <v>-0.359059342575854</v>
      </c>
      <c r="O11" s="85" t="n">
        <f aca="false">COS((23.4393-46.815*I11/3600)*$A$7)*SIN(M11*PI()/180)</f>
        <v>-0.856318774327893</v>
      </c>
      <c r="P11" s="85" t="n">
        <f aca="false">SIN((23.4393-46.815*I11/3600)*$A$7)*SIN(M11*$A$7)</f>
        <v>-0.371206876610025</v>
      </c>
      <c r="Q11" s="85" t="n">
        <f aca="false">SQRT(1-P11^2)</f>
        <v>0.928550189681435</v>
      </c>
      <c r="R11" s="34" t="n">
        <f aca="false">ATAN(P11/Q11)/$A$7</f>
        <v>-21.7900677554516</v>
      </c>
      <c r="S11" s="52" t="n">
        <f aca="false">IF(2*ATAN(O11/(N11+Q11))/$A$7&gt;0, 2*ATAN(O11/(N11+Q11))/$A$7, 2*ATAN(O11/(N11+Q11))/$A$7+360)</f>
        <v>247.251418098927</v>
      </c>
      <c r="T11" s="34" t="n">
        <f aca="false">MOD(280.46061837+360.98564736629*(H11-2451545)+0.000387933*I11^2-I11^3/3871000010 + $B$5,360)</f>
        <v>152.521079785656</v>
      </c>
      <c r="U11" s="34" t="n">
        <f aca="false">IF(T11-S11&gt;0,T11-S11,T11-S11+360)</f>
        <v>265.269661686729</v>
      </c>
      <c r="V11" s="86" t="n">
        <f aca="false">SIN($A$5*$A$7)*SIN(R11*$A$7) +COS($A$5*$A$7)*COS(R11*$A$7)*COS(U11*$A$7)</f>
        <v>-0.333581799104728</v>
      </c>
      <c r="W11" s="34" t="n">
        <f aca="false">SIN($A$7*U11)</f>
        <v>-0.996593860381001</v>
      </c>
      <c r="X11" s="34" t="n">
        <f aca="false">COS($A$7*U11)*SIN($A$7*$A$5) - TAN($A$7*R11)*COS($A$7*$A$5)</f>
        <v>0.193794667352645</v>
      </c>
      <c r="Y11" s="34" t="n">
        <f aca="false">IF(OR(AND(W11*X11&gt;0), AND(W11&lt;0,X11&gt;0)), MOD(ATAN2(X11,W11)/$A$7+360,360),  ATAN2(X11,W11)/$A$7)</f>
        <v>281.004234855973</v>
      </c>
    </row>
    <row r="12" customFormat="false" ht="15" hidden="false" customHeight="false" outlineLevel="0" collapsed="false">
      <c r="A12" s="1"/>
      <c r="B12" s="1"/>
      <c r="C12" s="1"/>
      <c r="D12" s="57" t="n">
        <v>5</v>
      </c>
      <c r="E12" s="34" t="n">
        <f aca="false">ASIN(V12)/$A$7</f>
        <v>-14.8080262951519</v>
      </c>
      <c r="F12" s="34" t="n">
        <f aca="false">E12+1.02/(TAN($A$7*(E12+10.3/(E12+5.11)))*60)</f>
        <v>-14.8678236856644</v>
      </c>
      <c r="G12" s="16" t="n">
        <f aca="false">IF(U12&gt;180,Y12-180,Y12+180)</f>
        <v>106.401432542252</v>
      </c>
      <c r="H12" s="34" t="n">
        <f aca="false">INT(365.25*IF($B$2&gt;2,$C$2+4716,$C$2-1+4716))+INT(30.6001*IF($B$2&gt;2,$B$2+1,$B$2+12+1))+$A$2+D12/24+2-INT(IF($B$2&gt;2,$C$2,$C$2-1)/100)+INT(INT(IF($B$2&gt;2,$C$2,$C$2-1)/100)/4)-1524.5</f>
        <v>2459914.70833333</v>
      </c>
      <c r="I12" s="57" t="n">
        <f aca="false">(H12-2451545)/36525</f>
        <v>0.229150125484743</v>
      </c>
      <c r="J12" s="34" t="n">
        <f aca="false">MOD(357.5291 + 35999.0503*I12 - 0.0001559*I12^2 - 0.00000048*I12^3,360)</f>
        <v>326.715985387729</v>
      </c>
      <c r="K12" s="52" t="n">
        <f aca="false">MOD(280.46645 + 36000.76983*I12 + 0.0003032*I12^2,360)</f>
        <v>250.047390016018</v>
      </c>
      <c r="L12" s="85" t="n">
        <f aca="false"> MOD((1.9146 - 0.004817*I12 - 0.000014*I12^2)*SIN(J12*$A$7) + (0.019993 - 0.000101*I12)*SIN(2*J12*$A$7) + 0.00029*SIN(3*J12*$A$7),360)</f>
        <v>358.931284859533</v>
      </c>
      <c r="M12" s="85" t="n">
        <f aca="false">MOD(K12+L12,360)</f>
        <v>248.978674875551</v>
      </c>
      <c r="N12" s="85" t="n">
        <f aca="false">COS(M12*$A$7)</f>
        <v>-0.358715397407794</v>
      </c>
      <c r="O12" s="85" t="n">
        <f aca="false">COS((23.4393-46.815*I12/3600)*$A$7)*SIN(M12*PI()/180)</f>
        <v>-0.856440112099681</v>
      </c>
      <c r="P12" s="85" t="n">
        <f aca="false">SIN((23.4393-46.815*I12/3600)*$A$7)*SIN(M12*$A$7)</f>
        <v>-0.371259475366291</v>
      </c>
      <c r="Q12" s="85" t="n">
        <f aca="false">SQRT(1-P12^2)</f>
        <v>0.928529160527954</v>
      </c>
      <c r="R12" s="34" t="n">
        <f aca="false">ATAN(P12/Q12)/$A$7</f>
        <v>-21.7933133752368</v>
      </c>
      <c r="S12" s="52" t="n">
        <f aca="false">IF(2*ATAN(O12/(N12+Q12))/$A$7&gt;0, 2*ATAN(O12/(N12+Q12))/$A$7, 2*ATAN(O12/(N12+Q12))/$A$7+360)</f>
        <v>247.273885838907</v>
      </c>
      <c r="T12" s="34" t="n">
        <f aca="false">MOD(280.46061837+360.98564736629*(H12-2451545)+0.000387933*I12^2-I12^3/3871000010 + $B$5,360)</f>
        <v>160.041614161804</v>
      </c>
      <c r="U12" s="34" t="n">
        <f aca="false">IF(T12-S12&gt;0,T12-S12,T12-S12+360)</f>
        <v>272.767728322898</v>
      </c>
      <c r="V12" s="86" t="n">
        <f aca="false">SIN($A$5*$A$7)*SIN(R12*$A$7) +COS($A$5*$A$7)*COS(R12*$A$7)*COS(U12*$A$7)</f>
        <v>-0.255581193151264</v>
      </c>
      <c r="W12" s="34" t="n">
        <f aca="false">SIN($A$7*U12)</f>
        <v>-0.998833493393048</v>
      </c>
      <c r="X12" s="34" t="n">
        <f aca="false">COS($A$7*U12)*SIN($A$7*$A$5) - TAN($A$7*R12)*COS($A$7*$A$5)</f>
        <v>0.293999820621986</v>
      </c>
      <c r="Y12" s="34" t="n">
        <f aca="false">IF(OR(AND(W12*X12&gt;0), AND(W12&lt;0,X12&gt;0)), MOD(ATAN2(X12,W12)/$A$7+360,360),  ATAN2(X12,W12)/$A$7)</f>
        <v>286.401432542252</v>
      </c>
    </row>
    <row r="13" customFormat="false" ht="15" hidden="false" customHeight="false" outlineLevel="0" collapsed="false">
      <c r="A13" s="1"/>
      <c r="B13" s="1"/>
      <c r="C13" s="1"/>
      <c r="D13" s="57" t="n">
        <v>5.5</v>
      </c>
      <c r="E13" s="34" t="n">
        <f aca="false">ASIN(V13)/$A$7</f>
        <v>-10.2577675658246</v>
      </c>
      <c r="F13" s="34" t="n">
        <f aca="false">E13+1.02/(TAN($A$7*(E13+10.3/(E13+5.11)))*60)</f>
        <v>-10.3360079485048</v>
      </c>
      <c r="G13" s="16" t="n">
        <f aca="false">IF(U13&gt;180,Y13-180,Y13+180)</f>
        <v>111.800189166624</v>
      </c>
      <c r="H13" s="34" t="n">
        <f aca="false">INT(365.25*IF($B$2&gt;2,$C$2+4716,$C$2-1+4716))+INT(30.6001*IF($B$2&gt;2,$B$2+1,$B$2+12+1))+$A$2+D13/24+2-INT(IF($B$2&gt;2,$C$2,$C$2-1)/100)+INT(INT(IF($B$2&gt;2,$C$2,$C$2-1)/100)/4)-1524.5</f>
        <v>2459914.72916667</v>
      </c>
      <c r="I13" s="57" t="n">
        <f aca="false">(H13-2451545)/36525</f>
        <v>0.229150695870493</v>
      </c>
      <c r="J13" s="34" t="n">
        <f aca="false">MOD(357.5291 + 35999.0503*I13 - 0.0001559*I13^2 - 0.00000048*I13^3,360)</f>
        <v>326.73651872659</v>
      </c>
      <c r="K13" s="52" t="n">
        <f aca="false">MOD(280.46645 + 36000.76983*I13 + 0.0003032*I13^2,360)</f>
        <v>250.067924335795</v>
      </c>
      <c r="L13" s="85" t="n">
        <f aca="false"> MOD((1.9146 - 0.004817*I13 - 0.000014*I13^2)*SIN(J13*$A$7) + (0.019993 - 0.000101*I13)*SIN(2*J13*$A$7) + 0.00029*SIN(3*J13*$A$7),360)</f>
        <v>358.931863829908</v>
      </c>
      <c r="M13" s="85" t="n">
        <f aca="false">MOD(K13+L13,360)</f>
        <v>248.999788165703</v>
      </c>
      <c r="N13" s="85" t="n">
        <f aca="false">COS(M13*$A$7)</f>
        <v>-0.358371401181958</v>
      </c>
      <c r="O13" s="85" t="n">
        <f aca="false">COS((23.4393-46.815*I13/3600)*$A$7)*SIN(M13*PI()/180)</f>
        <v>-0.856561334404579</v>
      </c>
      <c r="P13" s="85" t="n">
        <f aca="false">SIN((23.4393-46.815*I13/3600)*$A$7)*SIN(M13*$A$7)</f>
        <v>-0.371312024068608</v>
      </c>
      <c r="Q13" s="85" t="n">
        <f aca="false">SQRT(1-P13^2)</f>
        <v>0.92850814793521</v>
      </c>
      <c r="R13" s="34" t="n">
        <f aca="false">ATAN(P13/Q13)/$A$7</f>
        <v>-21.7965559798384</v>
      </c>
      <c r="S13" s="52" t="n">
        <f aca="false">IF(2*ATAN(O13/(N13+Q13))/$A$7&gt;0, 2*ATAN(O13/(N13+Q13))/$A$7, 2*ATAN(O13/(N13+Q13))/$A$7+360)</f>
        <v>247.296354749593</v>
      </c>
      <c r="T13" s="34" t="n">
        <f aca="false">MOD(280.46061837+360.98564736629*(H13-2451545)+0.000387933*I13^2-I13^3/3871000010 + $B$5,360)</f>
        <v>167.562148369849</v>
      </c>
      <c r="U13" s="34" t="n">
        <f aca="false">IF(T13-S13&gt;0,T13-S13,T13-S13+360)</f>
        <v>280.265793620255</v>
      </c>
      <c r="V13" s="86" t="n">
        <f aca="false">SIN($A$5*$A$7)*SIN(R13*$A$7) +COS($A$5*$A$7)*COS(R13*$A$7)*COS(U13*$A$7)</f>
        <v>-0.178076949840502</v>
      </c>
      <c r="W13" s="34" t="n">
        <f aca="false">SIN($A$7*U13)</f>
        <v>-0.983991610003294</v>
      </c>
      <c r="X13" s="34" t="n">
        <f aca="false">COS($A$7*U13)*SIN($A$7*$A$5) - TAN($A$7*R13)*COS($A$7*$A$5)</f>
        <v>0.393572333344956</v>
      </c>
      <c r="Y13" s="34" t="n">
        <f aca="false">IF(OR(AND(W13*X13&gt;0), AND(W13&lt;0,X13&gt;0)), MOD(ATAN2(X13,W13)/$A$7+360,360),  ATAN2(X13,W13)/$A$7)</f>
        <v>291.800189166624</v>
      </c>
    </row>
    <row r="14" customFormat="false" ht="15" hidden="false" customHeight="false" outlineLevel="0" collapsed="false">
      <c r="A14" s="1"/>
      <c r="B14" s="1"/>
      <c r="C14" s="1"/>
      <c r="D14" s="57" t="n">
        <v>6</v>
      </c>
      <c r="E14" s="34" t="n">
        <f aca="false">ASIN(V14)/$A$7</f>
        <v>-5.87710966493397</v>
      </c>
      <c r="F14" s="34" t="n">
        <f aca="false">E14+1.02/(TAN($A$7*(E14+10.3/(E14+5.11)))*60)</f>
        <v>-5.92564281908837</v>
      </c>
      <c r="G14" s="16" t="n">
        <f aca="false">IF(U14&gt;180,Y14-180,Y14+180)</f>
        <v>117.265785552319</v>
      </c>
      <c r="H14" s="34" t="n">
        <f aca="false">INT(365.25*IF($B$2&gt;2,$C$2+4716,$C$2-1+4716))+INT(30.6001*IF($B$2&gt;2,$B$2+1,$B$2+12+1))+$A$2+D14/24+2-INT(IF($B$2&gt;2,$C$2,$C$2-1)/100)+INT(INT(IF($B$2&gt;2,$C$2,$C$2-1)/100)/4)-1524.5</f>
        <v>2459914.75</v>
      </c>
      <c r="I14" s="57" t="n">
        <f aca="false">(H14-2451545)/36525</f>
        <v>0.229151266255989</v>
      </c>
      <c r="J14" s="34" t="n">
        <f aca="false">MOD(357.5291 + 35999.0503*I14 - 0.0001559*I14^2 - 0.00000048*I14^3,360)</f>
        <v>326.757052065912</v>
      </c>
      <c r="K14" s="52" t="n">
        <f aca="false">MOD(280.46645 + 36000.76983*I14 + 0.0003032*I14^2,360)</f>
        <v>250.08845865603</v>
      </c>
      <c r="L14" s="85" t="n">
        <f aca="false"> MOD((1.9146 - 0.004817*I14 - 0.000014*I14^2)*SIN(J14*$A$7) + (0.019993 - 0.000101*I14)*SIN(2*J14*$A$7) + 0.00029*SIN(3*J14*$A$7),360)</f>
        <v>358.932442944828</v>
      </c>
      <c r="M14" s="85" t="n">
        <f aca="false">MOD(K14+L14,360)</f>
        <v>249.020901600857</v>
      </c>
      <c r="N14" s="85" t="n">
        <f aca="false">COS(M14*$A$7)</f>
        <v>-0.358027353930002</v>
      </c>
      <c r="O14" s="85" t="n">
        <f aca="false">COS((23.4393-46.815*I14/3600)*$A$7)*SIN(M14*PI()/180)</f>
        <v>-0.856682441228689</v>
      </c>
      <c r="P14" s="85" t="n">
        <f aca="false">SIN((23.4393-46.815*I14/3600)*$A$7)*SIN(M14*$A$7)</f>
        <v>-0.371364522710953</v>
      </c>
      <c r="Q14" s="85" t="n">
        <f aca="false">SQRT(1-P14^2)</f>
        <v>0.928487151915236</v>
      </c>
      <c r="R14" s="34" t="n">
        <f aca="false">ATAN(P14/Q14)/$A$7</f>
        <v>-21.7997955686903</v>
      </c>
      <c r="S14" s="52" t="n">
        <f aca="false">IF(2*ATAN(O14/(N14+Q14))/$A$7&gt;0, 2*ATAN(O14/(N14+Q14))/$A$7, 2*ATAN(O14/(N14+Q14))/$A$7+360)</f>
        <v>247.318824831186</v>
      </c>
      <c r="T14" s="34" t="n">
        <f aca="false">MOD(280.46061837+360.98564736629*(H14-2451545)+0.000387933*I14^2-I14^3/3871000010 + $B$5,360)</f>
        <v>175.082682745997</v>
      </c>
      <c r="U14" s="34" t="n">
        <f aca="false">IF(T14-S14&gt;0,T14-S14,T14-S14+360)</f>
        <v>287.76385791481</v>
      </c>
      <c r="V14" s="86" t="n">
        <f aca="false">SIN($A$5*$A$7)*SIN(R14*$A$7) +COS($A$5*$A$7)*COS(R14*$A$7)*COS(U14*$A$7)</f>
        <v>-0.102395133167305</v>
      </c>
      <c r="W14" s="34" t="n">
        <f aca="false">SIN($A$7*U14)</f>
        <v>-0.952322035404772</v>
      </c>
      <c r="X14" s="34" t="n">
        <f aca="false">COS($A$7*U14)*SIN($A$7*$A$5) - TAN($A$7*R14)*COS($A$7*$A$5)</f>
        <v>0.490810096484113</v>
      </c>
      <c r="Y14" s="34" t="n">
        <f aca="false">IF(OR(AND(W14*X14&gt;0), AND(W14&lt;0,X14&gt;0)), MOD(ATAN2(X14,W14)/$A$7+360,360),  ATAN2(X14,W14)/$A$7)</f>
        <v>297.265785552319</v>
      </c>
    </row>
    <row r="15" customFormat="false" ht="15" hidden="false" customHeight="false" outlineLevel="0" collapsed="false">
      <c r="A15" s="1"/>
      <c r="B15" s="1"/>
      <c r="C15" s="1"/>
      <c r="D15" s="57" t="n">
        <v>6.5</v>
      </c>
      <c r="E15" s="34" t="n">
        <f aca="false">ASIN(V15)/$A$7</f>
        <v>-1.70942023053798</v>
      </c>
      <c r="F15" s="34" t="n">
        <f aca="false">E15+1.02/(TAN($A$7*(E15+10.3/(E15+5.11)))*60)</f>
        <v>-0.971356968894768</v>
      </c>
      <c r="G15" s="16" t="n">
        <f aca="false">IF(U15&gt;180,Y15-180,Y15+180)</f>
        <v>122.854871304384</v>
      </c>
      <c r="H15" s="34" t="n">
        <f aca="false">INT(365.25*IF($B$2&gt;2,$C$2+4716,$C$2-1+4716))+INT(30.6001*IF($B$2&gt;2,$B$2+1,$B$2+12+1))+$A$2+D15/24+2-INT(IF($B$2&gt;2,$C$2,$C$2-1)/100)+INT(INT(IF($B$2&gt;2,$C$2,$C$2-1)/100)/4)-1524.5</f>
        <v>2459914.77083333</v>
      </c>
      <c r="I15" s="57" t="n">
        <f aca="false">(H15-2451545)/36525</f>
        <v>0.229151836641485</v>
      </c>
      <c r="J15" s="34" t="n">
        <f aca="false">MOD(357.5291 + 35999.0503*I15 - 0.0001559*I15^2 - 0.00000048*I15^3,360)</f>
        <v>326.777585405232</v>
      </c>
      <c r="K15" s="52" t="n">
        <f aca="false">MOD(280.46645 + 36000.76983*I15 + 0.0003032*I15^2,360)</f>
        <v>250.108992976267</v>
      </c>
      <c r="L15" s="85" t="n">
        <f aca="false"> MOD((1.9146 - 0.004817*I15 - 0.000014*I15^2)*SIN(J15*$A$7) + (0.019993 - 0.000101*I15)*SIN(2*J15*$A$7) + 0.00029*SIN(3*J15*$A$7),360)</f>
        <v>358.933022204204</v>
      </c>
      <c r="M15" s="85" t="n">
        <f aca="false">MOD(K15+L15,360)</f>
        <v>249.042015180471</v>
      </c>
      <c r="N15" s="85" t="n">
        <f aca="false">COS(M15*$A$7)</f>
        <v>-0.357683255706486</v>
      </c>
      <c r="O15" s="85" t="n">
        <f aca="false">COS((23.4393-46.815*I15/3600)*$A$7)*SIN(M15*PI()/180)</f>
        <v>-0.856803432550062</v>
      </c>
      <c r="P15" s="85" t="n">
        <f aca="false">SIN((23.4393-46.815*I15/3600)*$A$7)*SIN(M15*$A$7)</f>
        <v>-0.371416971283811</v>
      </c>
      <c r="Q15" s="85" t="n">
        <f aca="false">SQRT(1-P15^2)</f>
        <v>0.928466172481454</v>
      </c>
      <c r="R15" s="34" t="n">
        <f aca="false">ATAN(P15/Q15)/$A$7</f>
        <v>-21.8030321410112</v>
      </c>
      <c r="S15" s="52" t="n">
        <f aca="false">IF(2*ATAN(O15/(N15+Q15))/$A$7&gt;0, 2*ATAN(O15/(N15+Q15))/$A$7, 2*ATAN(O15/(N15+Q15))/$A$7+360)</f>
        <v>247.341296082389</v>
      </c>
      <c r="T15" s="34" t="n">
        <f aca="false">MOD(280.46061837+360.98564736629*(H15-2451545)+0.000387933*I15^2-I15^3/3871000010 + $B$5,360)</f>
        <v>182.603217122145</v>
      </c>
      <c r="U15" s="34" t="n">
        <f aca="false">IF(T15-S15&gt;0,T15-S15,T15-S15+360)</f>
        <v>295.261921039756</v>
      </c>
      <c r="V15" s="86" t="n">
        <f aca="false">SIN($A$5*$A$7)*SIN(R15*$A$7) +COS($A$5*$A$7)*COS(R15*$A$7)*COS(U15*$A$7)</f>
        <v>-0.0298305853574108</v>
      </c>
      <c r="W15" s="34" t="n">
        <f aca="false">SIN($A$7*U15)</f>
        <v>-0.904366373391622</v>
      </c>
      <c r="X15" s="34" t="n">
        <f aca="false">COS($A$7*U15)*SIN($A$7*$A$5) - TAN($A$7*R15)*COS($A$7*$A$5)</f>
        <v>0.584050922618296</v>
      </c>
      <c r="Y15" s="34" t="n">
        <f aca="false">IF(OR(AND(W15*X15&gt;0), AND(W15&lt;0,X15&gt;0)), MOD(ATAN2(X15,W15)/$A$7+360,360),  ATAN2(X15,W15)/$A$7)</f>
        <v>302.854871304384</v>
      </c>
    </row>
    <row r="16" customFormat="false" ht="15" hidden="false" customHeight="false" outlineLevel="0" collapsed="false">
      <c r="A16" s="1"/>
      <c r="B16" s="1"/>
      <c r="C16" s="1"/>
      <c r="D16" s="57" t="n">
        <v>7</v>
      </c>
      <c r="E16" s="34" t="n">
        <f aca="false">ASIN(V16)/$A$7</f>
        <v>2.19927817746655</v>
      </c>
      <c r="F16" s="34" t="n">
        <f aca="false">E16+1.02/(TAN($A$7*(E16+10.3/(E16+5.11)))*60)</f>
        <v>2.46885131381789</v>
      </c>
      <c r="G16" s="16" t="n">
        <f aca="false">IF(U16&gt;180,Y16-180,Y16+180)</f>
        <v>128.615959819214</v>
      </c>
      <c r="H16" s="34" t="n">
        <f aca="false">INT(365.25*IF($B$2&gt;2,$C$2+4716,$C$2-1+4716))+INT(30.6001*IF($B$2&gt;2,$B$2+1,$B$2+12+1))+$A$2+D16/24+2-INT(IF($B$2&gt;2,$C$2,$C$2-1)/100)+INT(INT(IF($B$2&gt;2,$C$2,$C$2-1)/100)/4)-1524.5</f>
        <v>2459914.79166667</v>
      </c>
      <c r="I16" s="57" t="n">
        <f aca="false">(H16-2451545)/36525</f>
        <v>0.229152407027235</v>
      </c>
      <c r="J16" s="34" t="n">
        <f aca="false">MOD(357.5291 + 35999.0503*I16 - 0.0001559*I16^2 - 0.00000048*I16^3,360)</f>
        <v>326.798118744093</v>
      </c>
      <c r="K16" s="52" t="n">
        <f aca="false">MOD(280.46645 + 36000.76983*I16 + 0.0003032*I16^2,360)</f>
        <v>250.129527296043</v>
      </c>
      <c r="L16" s="85" t="n">
        <f aca="false"> MOD((1.9146 - 0.004817*I16 - 0.000014*I16^2)*SIN(J16*$A$7) + (0.019993 - 0.000101*I16)*SIN(2*J16*$A$7) + 0.00029*SIN(3*J16*$A$7),360)</f>
        <v>358.933601607946</v>
      </c>
      <c r="M16" s="85" t="n">
        <f aca="false">MOD(K16+L16,360)</f>
        <v>249.06312890399</v>
      </c>
      <c r="N16" s="85" t="n">
        <f aca="false">COS(M16*$A$7)</f>
        <v>-0.35733910656619</v>
      </c>
      <c r="O16" s="85" t="n">
        <f aca="false">COS((23.4393-46.815*I16/3600)*$A$7)*SIN(M16*PI()/180)</f>
        <v>-0.856924308346703</v>
      </c>
      <c r="P16" s="85" t="n">
        <f aca="false">SIN((23.4393-46.815*I16/3600)*$A$7)*SIN(M16*$A$7)</f>
        <v>-0.371469369777646</v>
      </c>
      <c r="Q16" s="85" t="n">
        <f aca="false">SQRT(1-P16^2)</f>
        <v>0.928445209647289</v>
      </c>
      <c r="R16" s="34" t="n">
        <f aca="false">ATAN(P16/Q16)/$A$7</f>
        <v>-21.8062656960184</v>
      </c>
      <c r="S16" s="52" t="n">
        <f aca="false">IF(2*ATAN(O16/(N16+Q16))/$A$7&gt;0, 2*ATAN(O16/(N16+Q16))/$A$7, 2*ATAN(O16/(N16+Q16))/$A$7+360)</f>
        <v>247.36376850189</v>
      </c>
      <c r="T16" s="34" t="n">
        <f aca="false">MOD(280.46061837+360.98564736629*(H16-2451545)+0.000387933*I16^2-I16^3/3871000010 + $B$5,360)</f>
        <v>190.123751330655</v>
      </c>
      <c r="U16" s="34" t="n">
        <f aca="false">IF(T16-S16&gt;0,T16-S16,T16-S16+360)</f>
        <v>302.759982828765</v>
      </c>
      <c r="V16" s="86" t="n">
        <f aca="false">SIN($A$5*$A$7)*SIN(R16*$A$7) +COS($A$5*$A$7)*COS(R16*$A$7)*COS(U16*$A$7)</f>
        <v>0.0383752201905617</v>
      </c>
      <c r="W16" s="34" t="n">
        <f aca="false">SIN($A$7*U16)</f>
        <v>-0.840944744469239</v>
      </c>
      <c r="X16" s="34" t="n">
        <f aca="false">COS($A$7*U16)*SIN($A$7*$A$5) - TAN($A$7*R16)*COS($A$7*$A$5)</f>
        <v>0.671700978755135</v>
      </c>
      <c r="Y16" s="34" t="n">
        <f aca="false">IF(OR(AND(W16*X16&gt;0), AND(W16&lt;0,X16&gt;0)), MOD(ATAN2(X16,W16)/$A$7+360,360),  ATAN2(X16,W16)/$A$7)</f>
        <v>308.615959819214</v>
      </c>
    </row>
    <row r="17" customFormat="false" ht="15" hidden="false" customHeight="false" outlineLevel="0" collapsed="false">
      <c r="A17" s="1"/>
      <c r="B17" s="1"/>
      <c r="C17" s="1"/>
      <c r="D17" s="57" t="n">
        <v>7.5</v>
      </c>
      <c r="E17" s="34" t="n">
        <f aca="false">ASIN(V17)/$A$7</f>
        <v>5.79994896485909</v>
      </c>
      <c r="F17" s="34" t="n">
        <f aca="false">E17+1.02/(TAN($A$7*(E17+10.3/(E17+5.11)))*60)</f>
        <v>5.94370932575296</v>
      </c>
      <c r="G17" s="16" t="n">
        <f aca="false">IF(U17&gt;180,Y17-180,Y17+180)</f>
        <v>134.588657147441</v>
      </c>
      <c r="H17" s="34" t="n">
        <f aca="false">INT(365.25*IF($B$2&gt;2,$C$2+4716,$C$2-1+4716))+INT(30.6001*IF($B$2&gt;2,$B$2+1,$B$2+12+1))+$A$2+D17/24+2-INT(IF($B$2&gt;2,$C$2,$C$2-1)/100)+INT(INT(IF($B$2&gt;2,$C$2,$C$2-1)/100)/4)-1524.5</f>
        <v>2459914.8125</v>
      </c>
      <c r="I17" s="57" t="n">
        <f aca="false">(H17-2451545)/36525</f>
        <v>0.229152977412731</v>
      </c>
      <c r="J17" s="34" t="n">
        <f aca="false">MOD(357.5291 + 35999.0503*I17 - 0.0001559*I17^2 - 0.00000048*I17^3,360)</f>
        <v>326.818652083413</v>
      </c>
      <c r="K17" s="52" t="n">
        <f aca="false">MOD(280.46645 + 36000.76983*I17 + 0.0003032*I17^2,360)</f>
        <v>250.150061616278</v>
      </c>
      <c r="L17" s="85" t="n">
        <f aca="false"> MOD((1.9146 - 0.004817*I17 - 0.000014*I17^2)*SIN(J17*$A$7) + (0.019993 - 0.000101*I17)*SIN(2*J17*$A$7) + 0.00029*SIN(3*J17*$A$7),360)</f>
        <v>358.934181156005</v>
      </c>
      <c r="M17" s="85" t="n">
        <f aca="false">MOD(K17+L17,360)</f>
        <v>249.084242772282</v>
      </c>
      <c r="N17" s="85" t="n">
        <f aca="false">COS(M17*$A$7)</f>
        <v>-0.35699490654067</v>
      </c>
      <c r="O17" s="85" t="n">
        <f aca="false">COS((23.4393-46.815*I17/3600)*$A$7)*SIN(M17*PI()/180)</f>
        <v>-0.857045068604792</v>
      </c>
      <c r="P17" s="85" t="n">
        <f aca="false">SIN((23.4393-46.815*I17/3600)*$A$7)*SIN(M17*$A$7)</f>
        <v>-0.371521718186468</v>
      </c>
      <c r="Q17" s="85" t="n">
        <f aca="false">SQRT(1-P17^2)</f>
        <v>0.928424263424742</v>
      </c>
      <c r="R17" s="34" t="n">
        <f aca="false">ATAN(P17/Q17)/$A$7</f>
        <v>-21.8094962331482</v>
      </c>
      <c r="S17" s="52" t="n">
        <f aca="false">IF(2*ATAN(O17/(N17+Q17))/$A$7&gt;0, 2*ATAN(O17/(N17+Q17))/$A$7, 2*ATAN(O17/(N17+Q17))/$A$7+360)</f>
        <v>247.386242089894</v>
      </c>
      <c r="T17" s="34" t="n">
        <f aca="false">MOD(280.46061837+360.98564736629*(H17-2451545)+0.000387933*I17^2-I17^3/3871000010 + $B$5,360)</f>
        <v>197.644285706803</v>
      </c>
      <c r="U17" s="34" t="n">
        <f aca="false">IF(T17-S17&gt;0,T17-S17,T17-S17+360)</f>
        <v>310.25804361691</v>
      </c>
      <c r="V17" s="86" t="n">
        <f aca="false">SIN($A$5*$A$7)*SIN(R17*$A$7) +COS($A$5*$A$7)*COS(R17*$A$7)*COS(U17*$A$7)</f>
        <v>0.101055411011576</v>
      </c>
      <c r="W17" s="34" t="n">
        <f aca="false">SIN($A$7*U17)</f>
        <v>-0.763141754467617</v>
      </c>
      <c r="X17" s="34" t="n">
        <f aca="false">COS($A$7*U17)*SIN($A$7*$A$5) - TAN($A$7*R17)*COS($A$7*$A$5)</f>
        <v>0.75226204852363</v>
      </c>
      <c r="Y17" s="34" t="n">
        <f aca="false">IF(OR(AND(W17*X17&gt;0), AND(W17&lt;0,X17&gt;0)), MOD(ATAN2(X17,W17)/$A$7+360,360),  ATAN2(X17,W17)/$A$7)</f>
        <v>314.588657147441</v>
      </c>
    </row>
    <row r="18" customFormat="false" ht="15" hidden="false" customHeight="false" outlineLevel="0" collapsed="false">
      <c r="A18" s="1"/>
      <c r="B18" s="1"/>
      <c r="C18" s="1"/>
      <c r="D18" s="57" t="n">
        <v>8</v>
      </c>
      <c r="E18" s="34" t="n">
        <f aca="false">ASIN(V18)/$A$7</f>
        <v>9.04079449020303</v>
      </c>
      <c r="F18" s="34" t="n">
        <f aca="false">E18+1.02/(TAN($A$7*(E18+10.3/(E18+5.11)))*60)</f>
        <v>9.13953588678445</v>
      </c>
      <c r="G18" s="16" t="n">
        <f aca="false">IF(U18&gt;180,Y18-180,Y18+180)</f>
        <v>140.801724929045</v>
      </c>
      <c r="H18" s="34" t="n">
        <f aca="false">INT(365.25*IF($B$2&gt;2,$C$2+4716,$C$2-1+4716))+INT(30.6001*IF($B$2&gt;2,$B$2+1,$B$2+12+1))+$A$2+D18/24+2-INT(IF($B$2&gt;2,$C$2,$C$2-1)/100)+INT(INT(IF($B$2&gt;2,$C$2,$C$2-1)/100)/4)-1524.5</f>
        <v>2459914.83333333</v>
      </c>
      <c r="I18" s="57" t="n">
        <f aca="false">(H18-2451545)/36525</f>
        <v>0.229153547798227</v>
      </c>
      <c r="J18" s="34" t="n">
        <f aca="false">MOD(357.5291 + 35999.0503*I18 - 0.0001559*I18^2 - 0.00000048*I18^3,360)</f>
        <v>326.839185422734</v>
      </c>
      <c r="K18" s="52" t="n">
        <f aca="false">MOD(280.46645 + 36000.76983*I18 + 0.0003032*I18^2,360)</f>
        <v>250.170595936515</v>
      </c>
      <c r="L18" s="85" t="n">
        <f aca="false"> MOD((1.9146 - 0.004817*I18 - 0.000014*I18^2)*SIN(J18*$A$7) + (0.019993 - 0.000101*I18)*SIN(2*J18*$A$7) + 0.00029*SIN(3*J18*$A$7),360)</f>
        <v>358.93476084829</v>
      </c>
      <c r="M18" s="85" t="n">
        <f aca="false">MOD(K18+L18,360)</f>
        <v>249.105356784805</v>
      </c>
      <c r="N18" s="85" t="n">
        <f aca="false">COS(M18*$A$7)</f>
        <v>-0.356650655684549</v>
      </c>
      <c r="O18" s="85" t="n">
        <f aca="false">COS((23.4393-46.815*I18/3600)*$A$7)*SIN(M18*PI()/180)</f>
        <v>-0.857165713302426</v>
      </c>
      <c r="P18" s="85" t="n">
        <f aca="false">SIN((23.4393-46.815*I18/3600)*$A$7)*SIN(M18*$A$7)</f>
        <v>-0.371574016500784</v>
      </c>
      <c r="Q18" s="85" t="n">
        <f aca="false">SQRT(1-P18^2)</f>
        <v>0.928403333827209</v>
      </c>
      <c r="R18" s="34" t="n">
        <f aca="false">ATAN(P18/Q18)/$A$7</f>
        <v>-21.8127237516206</v>
      </c>
      <c r="S18" s="52" t="n">
        <f aca="false">IF(2*ATAN(O18/(N18+Q18))/$A$7&gt;0, 2*ATAN(O18/(N18+Q18))/$A$7, 2*ATAN(O18/(N18+Q18))/$A$7+360)</f>
        <v>247.408716845098</v>
      </c>
      <c r="T18" s="34" t="n">
        <f aca="false">MOD(280.46061837+360.98564736629*(H18-2451545)+0.000387933*I18^2-I18^3/3871000010 + $B$5,360)</f>
        <v>205.164820082951</v>
      </c>
      <c r="U18" s="34" t="n">
        <f aca="false">IF(T18-S18&gt;0,T18-S18,T18-S18+360)</f>
        <v>317.756103237853</v>
      </c>
      <c r="V18" s="86" t="n">
        <f aca="false">SIN($A$5*$A$7)*SIN(R18*$A$7) +COS($A$5*$A$7)*COS(R18*$A$7)*COS(U18*$A$7)</f>
        <v>0.157137657621004</v>
      </c>
      <c r="W18" s="34" t="n">
        <f aca="false">SIN($A$7*U18)</f>
        <v>-0.672287954404187</v>
      </c>
      <c r="X18" s="34" t="n">
        <f aca="false">COS($A$7*U18)*SIN($A$7*$A$5) - TAN($A$7*R18)*COS($A$7*$A$5)</f>
        <v>0.824357142018412</v>
      </c>
      <c r="Y18" s="34" t="n">
        <f aca="false">IF(OR(AND(W18*X18&gt;0), AND(W18&lt;0,X18&gt;0)), MOD(ATAN2(X18,W18)/$A$7+360,360),  ATAN2(X18,W18)/$A$7)</f>
        <v>320.801724929045</v>
      </c>
    </row>
    <row r="19" customFormat="false" ht="15" hidden="false" customHeight="false" outlineLevel="0" collapsed="false">
      <c r="A19" s="1"/>
      <c r="B19" s="1"/>
      <c r="C19" s="1"/>
      <c r="D19" s="57" t="n">
        <v>8.5</v>
      </c>
      <c r="E19" s="34" t="n">
        <f aca="false">ASIN(V19)/$A$7</f>
        <v>11.8682846225703</v>
      </c>
      <c r="F19" s="34" t="n">
        <f aca="false">E19+1.02/(TAN($A$7*(E19+10.3/(E19+5.11)))*60)</f>
        <v>11.9451256895947</v>
      </c>
      <c r="G19" s="16" t="n">
        <f aca="false">IF(U19&gt;180,Y19-180,Y19+180)</f>
        <v>147.27021884108</v>
      </c>
      <c r="H19" s="34" t="n">
        <f aca="false">INT(365.25*IF($B$2&gt;2,$C$2+4716,$C$2-1+4716))+INT(30.6001*IF($B$2&gt;2,$B$2+1,$B$2+12+1))+$A$2+D19/24+2-INT(IF($B$2&gt;2,$C$2,$C$2-1)/100)+INT(INT(IF($B$2&gt;2,$C$2,$C$2-1)/100)/4)-1524.5</f>
        <v>2459914.85416667</v>
      </c>
      <c r="I19" s="57" t="n">
        <f aca="false">(H19-2451545)/36525</f>
        <v>0.229154118183977</v>
      </c>
      <c r="J19" s="34" t="n">
        <f aca="false">MOD(357.5291 + 35999.0503*I19 - 0.0001559*I19^2 - 0.00000048*I19^3,360)</f>
        <v>326.859718761596</v>
      </c>
      <c r="K19" s="52" t="n">
        <f aca="false">MOD(280.46645 + 36000.76983*I19 + 0.0003032*I19^2,360)</f>
        <v>250.191130256291</v>
      </c>
      <c r="L19" s="85" t="n">
        <f aca="false"> MOD((1.9146 - 0.004817*I19 - 0.000014*I19^2)*SIN(J19*$A$7) + (0.019993 - 0.000101*I19)*SIN(2*J19*$A$7) + 0.00029*SIN(3*J19*$A$7),360)</f>
        <v>358.935340684712</v>
      </c>
      <c r="M19" s="85" t="n">
        <f aca="false">MOD(K19+L19,360)</f>
        <v>249.126470941003</v>
      </c>
      <c r="N19" s="85" t="n">
        <f aca="false">COS(M19*$A$7)</f>
        <v>-0.356306354052632</v>
      </c>
      <c r="O19" s="85" t="n">
        <f aca="false">COS((23.4393-46.815*I19/3600)*$A$7)*SIN(M19*PI()/180)</f>
        <v>-0.85728624241767</v>
      </c>
      <c r="P19" s="85" t="n">
        <f aca="false">SIN((23.4393-46.815*I19/3600)*$A$7)*SIN(M19*$A$7)</f>
        <v>-0.371626264711083</v>
      </c>
      <c r="Q19" s="85" t="n">
        <f aca="false">SQRT(1-P19^2)</f>
        <v>0.928382420868086</v>
      </c>
      <c r="R19" s="34" t="n">
        <f aca="false">ATAN(P19/Q19)/$A$7</f>
        <v>-21.8159482506549</v>
      </c>
      <c r="S19" s="52" t="n">
        <f aca="false">IF(2*ATAN(O19/(N19+Q19))/$A$7&gt;0, 2*ATAN(O19/(N19+Q19))/$A$7, 2*ATAN(O19/(N19+Q19))/$A$7+360)</f>
        <v>247.431192766191</v>
      </c>
      <c r="T19" s="34" t="n">
        <f aca="false">MOD(280.46061837+360.98564736629*(H19-2451545)+0.000387933*I19^2-I19^3/3871000010 + $B$5,360)</f>
        <v>212.685354290996</v>
      </c>
      <c r="U19" s="34" t="n">
        <f aca="false">IF(T19-S19&gt;0,T19-S19,T19-S19+360)</f>
        <v>325.254161524805</v>
      </c>
      <c r="V19" s="86" t="n">
        <f aca="false">SIN($A$5*$A$7)*SIN(R19*$A$7) +COS($A$5*$A$7)*COS(R19*$A$7)*COS(U19*$A$7)</f>
        <v>0.20566251216197</v>
      </c>
      <c r="W19" s="34" t="n">
        <f aca="false">SIN($A$7*U19)</f>
        <v>-0.569937082977959</v>
      </c>
      <c r="X19" s="34" t="n">
        <f aca="false">COS($A$7*U19)*SIN($A$7*$A$5) - TAN($A$7*R19)*COS($A$7*$A$5)</f>
        <v>0.886754050835394</v>
      </c>
      <c r="Y19" s="34" t="n">
        <f aca="false">IF(OR(AND(W19*X19&gt;0), AND(W19&lt;0,X19&gt;0)), MOD(ATAN2(X19,W19)/$A$7+360,360),  ATAN2(X19,W19)/$A$7)</f>
        <v>327.27021884108</v>
      </c>
    </row>
    <row r="20" customFormat="false" ht="15" hidden="false" customHeight="false" outlineLevel="0" collapsed="false">
      <c r="A20" s="1"/>
      <c r="B20" s="1"/>
      <c r="C20" s="1"/>
      <c r="D20" s="57" t="n">
        <v>9</v>
      </c>
      <c r="E20" s="34" t="n">
        <f aca="false">ASIN(V20)/$A$7</f>
        <v>14.2291051196921</v>
      </c>
      <c r="F20" s="34" t="n">
        <f aca="false">E20+1.02/(TAN($A$7*(E20+10.3/(E20+5.11)))*60)</f>
        <v>14.2936221089756</v>
      </c>
      <c r="G20" s="16" t="n">
        <f aca="false">IF(U20&gt;180,Y20-180,Y20+180)</f>
        <v>153.992214792355</v>
      </c>
      <c r="H20" s="34" t="n">
        <f aca="false">INT(365.25*IF($B$2&gt;2,$C$2+4716,$C$2-1+4716))+INT(30.6001*IF($B$2&gt;2,$B$2+1,$B$2+12+1))+$A$2+D20/24+2-INT(IF($B$2&gt;2,$C$2,$C$2-1)/100)+INT(INT(IF($B$2&gt;2,$C$2,$C$2-1)/100)/4)-1524.5</f>
        <v>2459914.875</v>
      </c>
      <c r="I20" s="57" t="n">
        <f aca="false">(H20-2451545)/36525</f>
        <v>0.229154688569473</v>
      </c>
      <c r="J20" s="34" t="n">
        <f aca="false">MOD(357.5291 + 35999.0503*I20 - 0.0001559*I20^2 - 0.00000048*I20^3,360)</f>
        <v>326.880252100917</v>
      </c>
      <c r="K20" s="52" t="n">
        <f aca="false">MOD(280.46645 + 36000.76983*I20 + 0.0003032*I20^2,360)</f>
        <v>250.211664576527</v>
      </c>
      <c r="L20" s="85" t="n">
        <f aca="false"> MOD((1.9146 - 0.004817*I20 - 0.000014*I20^2)*SIN(J20*$A$7) + (0.019993 - 0.000101*I20)*SIN(2*J20*$A$7) + 0.00029*SIN(3*J20*$A$7),360)</f>
        <v>358.935920665219</v>
      </c>
      <c r="M20" s="85" t="n">
        <f aca="false">MOD(K20+L20,360)</f>
        <v>249.147585241747</v>
      </c>
      <c r="N20" s="85" t="n">
        <f aca="false">COS(M20*$A$7)</f>
        <v>-0.355962001676479</v>
      </c>
      <c r="O20" s="85" t="n">
        <f aca="false">COS((23.4393-46.815*I20/3600)*$A$7)*SIN(M20*PI()/180)</f>
        <v>-0.857406655936746</v>
      </c>
      <c r="P20" s="85" t="n">
        <f aca="false">SIN((23.4393-46.815*I20/3600)*$A$7)*SIN(M20*$A$7)</f>
        <v>-0.371678462811393</v>
      </c>
      <c r="Q20" s="85" t="n">
        <f aca="false">SQRT(1-P20^2)</f>
        <v>0.92836152455935</v>
      </c>
      <c r="R20" s="34" t="n">
        <f aca="false">ATAN(P20/Q20)/$A$7</f>
        <v>-21.8191697296886</v>
      </c>
      <c r="S20" s="52" t="n">
        <f aca="false">IF(2*ATAN(O20/(N20+Q20))/$A$7&gt;0, 2*ATAN(O20/(N20+Q20))/$A$7, 2*ATAN(O20/(N20+Q20))/$A$7+360)</f>
        <v>247.453669853375</v>
      </c>
      <c r="T20" s="34" t="n">
        <f aca="false">MOD(280.46061837+360.98564736629*(H20-2451545)+0.000387933*I20^2-I20^3/3871000010 + $B$5,360)</f>
        <v>220.205888668075</v>
      </c>
      <c r="U20" s="34" t="n">
        <f aca="false">IF(T20-S20&gt;0,T20-S20,T20-S20+360)</f>
        <v>332.7522188147</v>
      </c>
      <c r="V20" s="86" t="n">
        <f aca="false">SIN($A$5*$A$7)*SIN(R20*$A$7) +COS($A$5*$A$7)*COS(R20*$A$7)*COS(U20*$A$7)</f>
        <v>0.245799813219119</v>
      </c>
      <c r="W20" s="34" t="n">
        <f aca="false">SIN($A$7*U20)</f>
        <v>-0.457839487031849</v>
      </c>
      <c r="X20" s="34" t="n">
        <f aca="false">COS($A$7*U20)*SIN($A$7*$A$5) - TAN($A$7*R20)*COS($A$7*$A$5)</f>
        <v>0.938386423761914</v>
      </c>
      <c r="Y20" s="34" t="n">
        <f aca="false">IF(OR(AND(W20*X20&gt;0), AND(W20&lt;0,X20&gt;0)), MOD(ATAN2(X20,W20)/$A$7+360,360),  ATAN2(X20,W20)/$A$7)</f>
        <v>333.992214792355</v>
      </c>
    </row>
    <row r="21" customFormat="false" ht="15" hidden="false" customHeight="false" outlineLevel="0" collapsed="false">
      <c r="A21" s="1"/>
      <c r="B21" s="1"/>
      <c r="C21" s="1"/>
      <c r="D21" s="57" t="n">
        <v>9.5</v>
      </c>
      <c r="E21" s="34" t="n">
        <f aca="false">ASIN(V21)/$A$7</f>
        <v>16.0730598554532</v>
      </c>
      <c r="F21" s="34" t="n">
        <f aca="false">E21+1.02/(TAN($A$7*(E21+10.3/(E21+5.11)))*60)</f>
        <v>16.1302335414085</v>
      </c>
      <c r="G21" s="16" t="n">
        <f aca="false">IF(U21&gt;180,Y21-180,Y21+180)</f>
        <v>160.946002400907</v>
      </c>
      <c r="H21" s="34" t="n">
        <f aca="false">INT(365.25*IF($B$2&gt;2,$C$2+4716,$C$2-1+4716))+INT(30.6001*IF($B$2&gt;2,$B$2+1,$B$2+12+1))+$A$2+D21/24+2-INT(IF($B$2&gt;2,$C$2,$C$2-1)/100)+INT(INT(IF($B$2&gt;2,$C$2,$C$2-1)/100)/4)-1524.5</f>
        <v>2459914.89583333</v>
      </c>
      <c r="I21" s="57" t="n">
        <f aca="false">(H21-2451545)/36525</f>
        <v>0.229155258954969</v>
      </c>
      <c r="J21" s="34" t="n">
        <f aca="false">MOD(357.5291 + 35999.0503*I21 - 0.0001559*I21^2 - 0.00000048*I21^3,360)</f>
        <v>326.900785440237</v>
      </c>
      <c r="K21" s="52" t="n">
        <f aca="false">MOD(280.46645 + 36000.76983*I21 + 0.0003032*I21^2,360)</f>
        <v>250.232198896761</v>
      </c>
      <c r="L21" s="85" t="n">
        <f aca="false"> MOD((1.9146 - 0.004817*I21 - 0.000014*I21^2)*SIN(J21*$A$7) + (0.019993 - 0.000101*I21)*SIN(2*J21*$A$7) + 0.00029*SIN(3*J21*$A$7),360)</f>
        <v>358.936500789724</v>
      </c>
      <c r="M21" s="85" t="n">
        <f aca="false">MOD(K21+L21,360)</f>
        <v>249.168699686485</v>
      </c>
      <c r="N21" s="85" t="n">
        <f aca="false">COS(M21*$A$7)</f>
        <v>-0.355617598610858</v>
      </c>
      <c r="O21" s="85" t="n">
        <f aca="false">COS((23.4393-46.815*I21/3600)*$A$7)*SIN(M21*PI()/180)</f>
        <v>-0.857526953837769</v>
      </c>
      <c r="P21" s="85" t="n">
        <f aca="false">SIN((23.4393-46.815*I21/3600)*$A$7)*SIN(M21*$A$7)</f>
        <v>-0.371730610792228</v>
      </c>
      <c r="Q21" s="85" t="n">
        <f aca="false">SQRT(1-P21^2)</f>
        <v>0.928340644914375</v>
      </c>
      <c r="R21" s="34" t="n">
        <f aca="false">ATAN(P21/Q21)/$A$7</f>
        <v>-21.8223881879425</v>
      </c>
      <c r="S21" s="52" t="n">
        <f aca="false">IF(2*ATAN(O21/(N21+Q21))/$A$7&gt;0, 2*ATAN(O21/(N21+Q21))/$A$7, 2*ATAN(O21/(N21+Q21))/$A$7+360)</f>
        <v>247.476148105339</v>
      </c>
      <c r="T21" s="34" t="n">
        <f aca="false">MOD(280.46061837+360.98564736629*(H21-2451545)+0.000387933*I21^2-I21^3/3871000010 + $B$5,360)</f>
        <v>227.726423044223</v>
      </c>
      <c r="U21" s="34" t="n">
        <f aca="false">IF(T21-S21&gt;0,T21-S21,T21-S21+360)</f>
        <v>340.250274938885</v>
      </c>
      <c r="V21" s="86" t="n">
        <f aca="false">SIN($A$5*$A$7)*SIN(R21*$A$7) +COS($A$5*$A$7)*COS(R21*$A$7)*COS(U21*$A$7)</f>
        <v>0.276862869856144</v>
      </c>
      <c r="W21" s="34" t="n">
        <f aca="false">SIN($A$7*U21)</f>
        <v>-0.337912201682768</v>
      </c>
      <c r="X21" s="34" t="n">
        <f aca="false">COS($A$7*U21)*SIN($A$7*$A$5) - TAN($A$7*R21)*COS($A$7*$A$5)</f>
        <v>0.97837199433794</v>
      </c>
      <c r="Y21" s="34" t="n">
        <f aca="false">IF(OR(AND(W21*X21&gt;0), AND(W21&lt;0,X21&gt;0)), MOD(ATAN2(X21,W21)/$A$7+360,360),  ATAN2(X21,W21)/$A$7)</f>
        <v>340.946002400907</v>
      </c>
    </row>
    <row r="22" customFormat="false" ht="15" hidden="false" customHeight="false" outlineLevel="0" collapsed="false">
      <c r="A22" s="1"/>
      <c r="B22" s="1"/>
      <c r="C22" s="1"/>
      <c r="D22" s="57" t="n">
        <v>10</v>
      </c>
      <c r="E22" s="34" t="n">
        <f aca="false">ASIN(V22)/$A$7</f>
        <v>17.3567384788953</v>
      </c>
      <c r="F22" s="34" t="n">
        <f aca="false">E22+1.02/(TAN($A$7*(E22+10.3/(E22+5.11)))*60)</f>
        <v>17.4096390776109</v>
      </c>
      <c r="G22" s="16" t="n">
        <f aca="false">IF(U22&gt;180,Y22-180,Y22+180)</f>
        <v>168.088937377688</v>
      </c>
      <c r="H22" s="34" t="n">
        <f aca="false">INT(365.25*IF($B$2&gt;2,$C$2+4716,$C$2-1+4716))+INT(30.6001*IF($B$2&gt;2,$B$2+1,$B$2+12+1))+$A$2+D22/24+2-INT(IF($B$2&gt;2,$C$2,$C$2-1)/100)+INT(INT(IF($B$2&gt;2,$C$2,$C$2-1)/100)/4)-1524.5</f>
        <v>2459914.91666667</v>
      </c>
      <c r="I22" s="57" t="n">
        <f aca="false">(H22-2451545)/36525</f>
        <v>0.229155829340719</v>
      </c>
      <c r="J22" s="34" t="n">
        <f aca="false">MOD(357.5291 + 35999.0503*I22 - 0.0001559*I22^2 - 0.00000048*I22^3,360)</f>
        <v>326.921318779099</v>
      </c>
      <c r="K22" s="52" t="n">
        <f aca="false">MOD(280.46645 + 36000.76983*I22 + 0.0003032*I22^2,360)</f>
        <v>250.252733216539</v>
      </c>
      <c r="L22" s="85" t="n">
        <f aca="false"> MOD((1.9146 - 0.004817*I22 - 0.000014*I22^2)*SIN(J22*$A$7) + (0.019993 - 0.000101*I22)*SIN(2*J22*$A$7) + 0.00029*SIN(3*J22*$A$7),360)</f>
        <v>358.937081058135</v>
      </c>
      <c r="M22" s="85" t="n">
        <f aca="false">MOD(K22+L22,360)</f>
        <v>249.189814274674</v>
      </c>
      <c r="N22" s="85" t="n">
        <f aca="false">COS(M22*$A$7)</f>
        <v>-0.355273144910429</v>
      </c>
      <c r="O22" s="85" t="n">
        <f aca="false">COS((23.4393-46.815*I22/3600)*$A$7)*SIN(M22*PI()/180)</f>
        <v>-0.857647136098924</v>
      </c>
      <c r="P22" s="85" t="n">
        <f aca="false">SIN((23.4393-46.815*I22/3600)*$A$7)*SIN(M22*$A$7)</f>
        <v>-0.371782708644131</v>
      </c>
      <c r="Q22" s="85" t="n">
        <f aca="false">SQRT(1-P22^2)</f>
        <v>0.92831978194652</v>
      </c>
      <c r="R22" s="34" t="n">
        <f aca="false">ATAN(P22/Q22)/$A$7</f>
        <v>-21.8256036246392</v>
      </c>
      <c r="S22" s="52" t="n">
        <f aca="false">IF(2*ATAN(O22/(N22+Q22))/$A$7&gt;0, 2*ATAN(O22/(N22+Q22))/$A$7, 2*ATAN(O22/(N22+Q22))/$A$7+360)</f>
        <v>247.498627520778</v>
      </c>
      <c r="T22" s="34" t="n">
        <f aca="false">MOD(280.46061837+360.98564736629*(H22-2451545)+0.000387933*I22^2-I22^3/3871000010 + $B$5,360)</f>
        <v>235.246957252268</v>
      </c>
      <c r="U22" s="34" t="n">
        <f aca="false">IF(T22-S22&gt;0,T22-S22,T22-S22+360)</f>
        <v>347.74832973149</v>
      </c>
      <c r="V22" s="86" t="n">
        <f aca="false">SIN($A$5*$A$7)*SIN(R22*$A$7) +COS($A$5*$A$7)*COS(R22*$A$7)*COS(U22*$A$7)</f>
        <v>0.29832020221257</v>
      </c>
      <c r="W22" s="34" t="n">
        <f aca="false">SIN($A$7*U22)</f>
        <v>-0.212206159999563</v>
      </c>
      <c r="X22" s="34" t="n">
        <f aca="false">COS($A$7*U22)*SIN($A$7*$A$5) - TAN($A$7*R22)*COS($A$7*$A$5)</f>
        <v>1.00602767402455</v>
      </c>
      <c r="Y22" s="34" t="n">
        <f aca="false">IF(OR(AND(W22*X22&gt;0), AND(W22&lt;0,X22&gt;0)), MOD(ATAN2(X22,W22)/$A$7+360,360),  ATAN2(X22,W22)/$A$7)</f>
        <v>348.088937377688</v>
      </c>
    </row>
    <row r="23" customFormat="false" ht="15" hidden="false" customHeight="false" outlineLevel="0" collapsed="false">
      <c r="A23" s="1"/>
      <c r="B23" s="1"/>
      <c r="C23" s="1"/>
      <c r="D23" s="57" t="n">
        <v>10.5</v>
      </c>
      <c r="E23" s="34" t="n">
        <f aca="false">ASIN(V23)/$A$7</f>
        <v>18.0474566027589</v>
      </c>
      <c r="F23" s="34" t="n">
        <f aca="false">E23+1.02/(TAN($A$7*(E23+10.3/(E23+5.11)))*60)</f>
        <v>18.098287131402</v>
      </c>
      <c r="G23" s="16" t="n">
        <f aca="false">IF(U23&gt;180,Y23-180,Y23+180)</f>
        <v>175.359130624432</v>
      </c>
      <c r="H23" s="34" t="n">
        <f aca="false">INT(365.25*IF($B$2&gt;2,$C$2+4716,$C$2-1+4716))+INT(30.6001*IF($B$2&gt;2,$B$2+1,$B$2+12+1))+$A$2+D23/24+2-INT(IF($B$2&gt;2,$C$2,$C$2-1)/100)+INT(INT(IF($B$2&gt;2,$C$2,$C$2-1)/100)/4)-1524.5</f>
        <v>2459914.9375</v>
      </c>
      <c r="I23" s="57" t="n">
        <f aca="false">(H23-2451545)/36525</f>
        <v>0.229156399726215</v>
      </c>
      <c r="J23" s="34" t="n">
        <f aca="false">MOD(357.5291 + 35999.0503*I23 - 0.0001559*I23^2 - 0.00000048*I23^3,360)</f>
        <v>326.941852118418</v>
      </c>
      <c r="K23" s="52" t="n">
        <f aca="false">MOD(280.46645 + 36000.76983*I23 + 0.0003032*I23^2,360)</f>
        <v>250.273267536777</v>
      </c>
      <c r="L23" s="85" t="n">
        <f aca="false"> MOD((1.9146 - 0.004817*I23 - 0.000014*I23^2)*SIN(J23*$A$7) + (0.019993 - 0.000101*I23)*SIN(2*J23*$A$7) + 0.00029*SIN(3*J23*$A$7),360)</f>
        <v>358.937661470402</v>
      </c>
      <c r="M23" s="85" t="n">
        <f aca="false">MOD(K23+L23,360)</f>
        <v>249.210929007179</v>
      </c>
      <c r="N23" s="85" t="n">
        <f aca="false">COS(M23*$A$7)</f>
        <v>-0.354928640606863</v>
      </c>
      <c r="O23" s="85" t="n">
        <f aca="false">COS((23.4393-46.815*I23/3600)*$A$7)*SIN(M23*PI()/180)</f>
        <v>-0.857767202706435</v>
      </c>
      <c r="P23" s="85" t="n">
        <f aca="false">SIN((23.4393-46.815*I23/3600)*$A$7)*SIN(M23*$A$7)</f>
        <v>-0.371834756361129</v>
      </c>
      <c r="Q23" s="85" t="n">
        <f aca="false">SQRT(1-P23^2)</f>
        <v>0.92829893566774</v>
      </c>
      <c r="R23" s="34" t="n">
        <f aca="false">ATAN(P23/Q23)/$A$7</f>
        <v>-21.8288160392166</v>
      </c>
      <c r="S23" s="52" t="n">
        <f aca="false">IF(2*ATAN(O23/(N23+Q23))/$A$7&gt;0, 2*ATAN(O23/(N23+Q23))/$A$7, 2*ATAN(O23/(N23+Q23))/$A$7+360)</f>
        <v>247.521108099887</v>
      </c>
      <c r="T23" s="34" t="n">
        <f aca="false">MOD(280.46061837+360.98564736629*(H23-2451545)+0.000387933*I23^2-I23^3/3871000010 + $B$5,360)</f>
        <v>242.767491628416</v>
      </c>
      <c r="U23" s="34" t="n">
        <f aca="false">IF(T23-S23&gt;0,T23-S23,T23-S23+360)</f>
        <v>355.246383528529</v>
      </c>
      <c r="V23" s="86" t="n">
        <f aca="false">SIN($A$5*$A$7)*SIN(R23*$A$7) +COS($A$5*$A$7)*COS(R23*$A$7)*COS(U23*$A$7)</f>
        <v>0.309804623642622</v>
      </c>
      <c r="W23" s="34" t="n">
        <f aca="false">SIN($A$7*U23)</f>
        <v>-0.0828711098984859</v>
      </c>
      <c r="X23" s="34" t="n">
        <f aca="false">COS($A$7*U23)*SIN($A$7*$A$5) - TAN($A$7*R23)*COS($A$7*$A$5)</f>
        <v>1.0208812344189</v>
      </c>
      <c r="Y23" s="34" t="n">
        <f aca="false">IF(OR(AND(W23*X23&gt;0), AND(W23&lt;0,X23&gt;0)), MOD(ATAN2(X23,W23)/$A$7+360,360),  ATAN2(X23,W23)/$A$7)</f>
        <v>355.359130624432</v>
      </c>
    </row>
    <row r="24" customFormat="false" ht="15" hidden="false" customHeight="false" outlineLevel="0" collapsed="false">
      <c r="A24" s="1"/>
      <c r="B24" s="1"/>
      <c r="C24" s="1"/>
      <c r="D24" s="57" t="n">
        <v>11</v>
      </c>
      <c r="E24" s="34" t="n">
        <f aca="false">ASIN(V24)/$A$7</f>
        <v>18.126710280694</v>
      </c>
      <c r="F24" s="34" t="n">
        <f aca="false">E24+1.02/(TAN($A$7*(E24+10.3/(E24+5.11)))*60)</f>
        <v>18.1773124635317</v>
      </c>
      <c r="G24" s="16" t="n">
        <f aca="false">IF(U24&gt;180,Y24-180,Y24+180)</f>
        <v>182.680590784391</v>
      </c>
      <c r="H24" s="34" t="n">
        <f aca="false">INT(365.25*IF($B$2&gt;2,$C$2+4716,$C$2-1+4716))+INT(30.6001*IF($B$2&gt;2,$B$2+1,$B$2+12+1))+$A$2+D24/24+2-INT(IF($B$2&gt;2,$C$2,$C$2-1)/100)+INT(INT(IF($B$2&gt;2,$C$2,$C$2-1)/100)/4)-1524.5</f>
        <v>2459914.95833333</v>
      </c>
      <c r="I24" s="57" t="n">
        <f aca="false">(H24-2451545)/36525</f>
        <v>0.229156970111711</v>
      </c>
      <c r="J24" s="34" t="n">
        <f aca="false">MOD(357.5291 + 35999.0503*I24 - 0.0001559*I24^2 - 0.00000048*I24^3,360)</f>
        <v>326.96238545774</v>
      </c>
      <c r="K24" s="52" t="n">
        <f aca="false">MOD(280.46645 + 36000.76983*I24 + 0.0003032*I24^2,360)</f>
        <v>250.293801857011</v>
      </c>
      <c r="L24" s="85" t="n">
        <f aca="false"> MOD((1.9146 - 0.004817*I24 - 0.000014*I24^2)*SIN(J24*$A$7) + (0.019993 - 0.000101*I24)*SIN(2*J24*$A$7) + 0.00029*SIN(3*J24*$A$7),360)</f>
        <v>358.938242026436</v>
      </c>
      <c r="M24" s="85" t="n">
        <f aca="false">MOD(K24+L24,360)</f>
        <v>249.232043883447</v>
      </c>
      <c r="N24" s="85" t="n">
        <f aca="false">COS(M24*$A$7)</f>
        <v>-0.354584085754986</v>
      </c>
      <c r="O24" s="85" t="n">
        <f aca="false">COS((23.4393-46.815*I24/3600)*$A$7)*SIN(M24*PI()/180)</f>
        <v>-0.857887153638467</v>
      </c>
      <c r="P24" s="85" t="n">
        <f aca="false">SIN((23.4393-46.815*I24/3600)*$A$7)*SIN(M24*$A$7)</f>
        <v>-0.371886753933759</v>
      </c>
      <c r="Q24" s="85" t="n">
        <f aca="false">SQRT(1-P24^2)</f>
        <v>0.928278106091387</v>
      </c>
      <c r="R24" s="34" t="n">
        <f aca="false">ATAN(P24/Q24)/$A$7</f>
        <v>-21.8320254308969</v>
      </c>
      <c r="S24" s="52" t="n">
        <f aca="false">IF(2*ATAN(O24/(N24+Q24))/$A$7&gt;0, 2*ATAN(O24/(N24+Q24))/$A$7, 2*ATAN(O24/(N24+Q24))/$A$7+360)</f>
        <v>247.543589841352</v>
      </c>
      <c r="T24" s="34" t="n">
        <f aca="false">MOD(280.46061837+360.98564736629*(H24-2451545)+0.000387933*I24^2-I24^3/3871000010 + $B$5,360)</f>
        <v>250.288026004564</v>
      </c>
      <c r="U24" s="34" t="n">
        <f aca="false">IF(T24-S24&gt;0,T24-S24,T24-S24+360)</f>
        <v>2.74443616321238</v>
      </c>
      <c r="V24" s="86" t="n">
        <f aca="false">SIN($A$5*$A$7)*SIN(R24*$A$7) +COS($A$5*$A$7)*COS(R24*$A$7)*COS(U24*$A$7)</f>
        <v>0.311119509505761</v>
      </c>
      <c r="W24" s="34" t="n">
        <f aca="false">SIN($A$7*U24)</f>
        <v>0.047881132854342</v>
      </c>
      <c r="X24" s="34" t="n">
        <f aca="false">COS($A$7*U24)*SIN($A$7*$A$5) - TAN($A$7*R24)*COS($A$7*$A$5)</f>
        <v>1.02267937909839</v>
      </c>
      <c r="Y24" s="34" t="n">
        <f aca="false">IF(OR(AND(W24*X24&gt;0), AND(W24&lt;0,X24&gt;0)), MOD(ATAN2(X24,W24)/$A$7+360,360),  ATAN2(X24,W24)/$A$7)</f>
        <v>2.68059078439131</v>
      </c>
    </row>
    <row r="25" customFormat="false" ht="15" hidden="false" customHeight="false" outlineLevel="0" collapsed="false">
      <c r="A25" s="1"/>
      <c r="B25" s="1"/>
      <c r="C25" s="1"/>
      <c r="D25" s="57" t="n">
        <v>11.5</v>
      </c>
      <c r="E25" s="34" t="n">
        <f aca="false">ASIN(V25)/$A$7</f>
        <v>17.5923219890987</v>
      </c>
      <c r="F25" s="34" t="n">
        <f aca="false">E25+1.02/(TAN($A$7*(E25+10.3/(E25+5.11)))*60)</f>
        <v>17.6444999707478</v>
      </c>
      <c r="G25" s="16" t="n">
        <f aca="false">IF(U25&gt;180,Y25-180,Y25+180)</f>
        <v>189.971361971335</v>
      </c>
      <c r="H25" s="34" t="n">
        <f aca="false">INT(365.25*IF($B$2&gt;2,$C$2+4716,$C$2-1+4716))+INT(30.6001*IF($B$2&gt;2,$B$2+1,$B$2+12+1))+$A$2+D25/24+2-INT(IF($B$2&gt;2,$C$2,$C$2-1)/100)+INT(INT(IF($B$2&gt;2,$C$2,$C$2-1)/100)/4)-1524.5</f>
        <v>2459914.97916667</v>
      </c>
      <c r="I25" s="57" t="n">
        <f aca="false">(H25-2451545)/36525</f>
        <v>0.229157540497461</v>
      </c>
      <c r="J25" s="34" t="n">
        <f aca="false">MOD(357.5291 + 35999.0503*I25 - 0.0001559*I25^2 - 0.00000048*I25^3,360)</f>
        <v>326.982918796601</v>
      </c>
      <c r="K25" s="52" t="n">
        <f aca="false">MOD(280.46645 + 36000.76983*I25 + 0.0003032*I25^2,360)</f>
        <v>250.314336176787</v>
      </c>
      <c r="L25" s="85" t="n">
        <f aca="false"> MOD((1.9146 - 0.004817*I25 - 0.000014*I25^2)*SIN(J25*$A$7) + (0.019993 - 0.000101*I25)*SIN(2*J25*$A$7) + 0.00029*SIN(3*J25*$A$7),360)</f>
        <v>358.938822726146</v>
      </c>
      <c r="M25" s="85" t="n">
        <f aca="false">MOD(K25+L25,360)</f>
        <v>249.253158902933</v>
      </c>
      <c r="N25" s="85" t="n">
        <f aca="false">COS(M25*$A$7)</f>
        <v>-0.354239480409496</v>
      </c>
      <c r="O25" s="85" t="n">
        <f aca="false">COS((23.4393-46.815*I25/3600)*$A$7)*SIN(M25*PI()/180)</f>
        <v>-0.858006988873261</v>
      </c>
      <c r="P25" s="85" t="n">
        <f aca="false">SIN((23.4393-46.815*I25/3600)*$A$7)*SIN(M25*$A$7)</f>
        <v>-0.371938701352587</v>
      </c>
      <c r="Q25" s="85" t="n">
        <f aca="false">SQRT(1-P25^2)</f>
        <v>0.928257293230789</v>
      </c>
      <c r="R25" s="34" t="n">
        <f aca="false">ATAN(P25/Q25)/$A$7</f>
        <v>-21.8352317989045</v>
      </c>
      <c r="S25" s="52" t="n">
        <f aca="false">IF(2*ATAN(O25/(N25+Q25))/$A$7&gt;0, 2*ATAN(O25/(N25+Q25))/$A$7, 2*ATAN(O25/(N25+Q25))/$A$7+360)</f>
        <v>247.566072743863</v>
      </c>
      <c r="T25" s="34" t="n">
        <f aca="false">MOD(280.46061837+360.98564736629*(H25-2451545)+0.000387933*I25^2-I25^3/3871000010 + $B$5,360)</f>
        <v>257.808560213074</v>
      </c>
      <c r="U25" s="34" t="n">
        <f aca="false">IF(T25-S25&gt;0,T25-S25,T25-S25+360)</f>
        <v>10.2424874692106</v>
      </c>
      <c r="V25" s="86" t="n">
        <f aca="false">SIN($A$5*$A$7)*SIN(R25*$A$7) +COS($A$5*$A$7)*COS(R25*$A$7)*COS(U25*$A$7)</f>
        <v>0.302242154223716</v>
      </c>
      <c r="W25" s="34" t="n">
        <f aca="false">SIN($A$7*U25)</f>
        <v>0.177814518105323</v>
      </c>
      <c r="X25" s="34" t="n">
        <f aca="false">COS($A$7*U25)*SIN($A$7*$A$5) - TAN($A$7*R25)*COS($A$7*$A$5)</f>
        <v>1.01139207825416</v>
      </c>
      <c r="Y25" s="34" t="n">
        <f aca="false">IF(OR(AND(W25*X25&gt;0), AND(W25&lt;0,X25&gt;0)), MOD(ATAN2(X25,W25)/$A$7+360,360),  ATAN2(X25,W25)/$A$7)</f>
        <v>9.97136197133483</v>
      </c>
    </row>
    <row r="26" customFormat="false" ht="15" hidden="false" customHeight="false" outlineLevel="0" collapsed="false">
      <c r="A26" s="1"/>
      <c r="B26" s="1"/>
      <c r="C26" s="1"/>
      <c r="D26" s="57" t="n">
        <v>12</v>
      </c>
      <c r="E26" s="34" t="n">
        <f aca="false">ASIN(V26)/$A$7</f>
        <v>16.4587009779763</v>
      </c>
      <c r="F26" s="34" t="n">
        <f aca="false">E26+1.02/(TAN($A$7*(E26+10.3/(E26+5.11)))*60)</f>
        <v>16.5145275757401</v>
      </c>
      <c r="G26" s="16" t="n">
        <f aca="false">IF(U26&gt;180,Y26-180,Y26+180)</f>
        <v>197.153037199102</v>
      </c>
      <c r="H26" s="34" t="n">
        <f aca="false">INT(365.25*IF($B$2&gt;2,$C$2+4716,$C$2-1+4716))+INT(30.6001*IF($B$2&gt;2,$B$2+1,$B$2+12+1))+$A$2+D26/24+2-INT(IF($B$2&gt;2,$C$2,$C$2-1)/100)+INT(INT(IF($B$2&gt;2,$C$2,$C$2-1)/100)/4)-1524.5</f>
        <v>2459915</v>
      </c>
      <c r="I26" s="57" t="n">
        <f aca="false">(H26-2451545)/36525</f>
        <v>0.229158110882957</v>
      </c>
      <c r="J26" s="34" t="n">
        <f aca="false">MOD(357.5291 + 35999.0503*I26 - 0.0001559*I26^2 - 0.00000048*I26^3,360)</f>
        <v>327.003452135919</v>
      </c>
      <c r="K26" s="52" t="n">
        <f aca="false">MOD(280.46645 + 36000.76983*I26 + 0.0003032*I26^2,360)</f>
        <v>250.334870497023</v>
      </c>
      <c r="L26" s="85" t="n">
        <f aca="false"> MOD((1.9146 - 0.004817*I26 - 0.000014*I26^2)*SIN(J26*$A$7) + (0.019993 - 0.000101*I26)*SIN(2*J26*$A$7) + 0.00029*SIN(3*J26*$A$7),360)</f>
        <v>358.939403569482</v>
      </c>
      <c r="M26" s="85" t="n">
        <f aca="false">MOD(K26+L26,360)</f>
        <v>249.274274066505</v>
      </c>
      <c r="N26" s="85" t="n">
        <f aca="false">COS(M26*$A$7)</f>
        <v>-0.353894824602054</v>
      </c>
      <c r="O26" s="85" t="n">
        <f aca="false">COS((23.4393-46.815*I26/3600)*$A$7)*SIN(M26*PI()/180)</f>
        <v>-0.858126708397087</v>
      </c>
      <c r="P26" s="85" t="n">
        <f aca="false">SIN((23.4393-46.815*I26/3600)*$A$7)*SIN(M26*$A$7)</f>
        <v>-0.371990598611662</v>
      </c>
      <c r="Q26" s="85" t="n">
        <f aca="false">SQRT(1-P26^2)</f>
        <v>0.928236497097877</v>
      </c>
      <c r="R26" s="34" t="n">
        <f aca="false">ATAN(P26/Q26)/$A$7</f>
        <v>-21.8384351426786</v>
      </c>
      <c r="S26" s="52" t="n">
        <f aca="false">IF(2*ATAN(O26/(N26+Q26))/$A$7&gt;0, 2*ATAN(O26/(N26+Q26))/$A$7, 2*ATAN(O26/(N26+Q26))/$A$7+360)</f>
        <v>247.588556807618</v>
      </c>
      <c r="T26" s="34" t="n">
        <f aca="false">MOD(280.46061837+360.98564736629*(H26-2451545)+0.000387933*I26^2-I26^3/3871000010 + $B$5,360)</f>
        <v>265.329094589222</v>
      </c>
      <c r="U26" s="34" t="n">
        <f aca="false">IF(T26-S26&gt;0,T26-S26,T26-S26+360)</f>
        <v>17.7405377816043</v>
      </c>
      <c r="V26" s="86" t="n">
        <f aca="false">SIN($A$5*$A$7)*SIN(R26*$A$7) +COS($A$5*$A$7)*COS(R26*$A$7)*COS(U26*$A$7)</f>
        <v>0.283324149966554</v>
      </c>
      <c r="W26" s="34" t="n">
        <f aca="false">SIN($A$7*U26)</f>
        <v>0.304707009690298</v>
      </c>
      <c r="X26" s="34" t="n">
        <f aca="false">COS($A$7*U26)*SIN($A$7*$A$5) - TAN($A$7*R26)*COS($A$7*$A$5)</f>
        <v>0.98721307994739</v>
      </c>
      <c r="Y26" s="34" t="n">
        <f aca="false">IF(OR(AND(W26*X26&gt;0), AND(W26&lt;0,X26&gt;0)), MOD(ATAN2(X26,W26)/$A$7+360,360),  ATAN2(X26,W26)/$A$7)</f>
        <v>17.1530371991023</v>
      </c>
    </row>
    <row r="27" customFormat="false" ht="15" hidden="false" customHeight="false" outlineLevel="0" collapsed="false">
      <c r="A27" s="1"/>
      <c r="B27" s="1"/>
      <c r="C27" s="1"/>
      <c r="D27" s="57" t="n">
        <v>12.5</v>
      </c>
      <c r="E27" s="34" t="n">
        <f aca="false">ASIN(V27)/$A$7</f>
        <v>14.7551451354137</v>
      </c>
      <c r="F27" s="34" t="n">
        <f aca="false">E27+1.02/(TAN($A$7*(E27+10.3/(E27+5.11)))*60)</f>
        <v>14.8173991797925</v>
      </c>
      <c r="G27" s="16" t="n">
        <f aca="false">IF(U27&gt;180,Y27-180,Y27+180)</f>
        <v>204.159442620441</v>
      </c>
      <c r="H27" s="34" t="n">
        <f aca="false">INT(365.25*IF($B$2&gt;2,$C$2+4716,$C$2-1+4716))+INT(30.6001*IF($B$2&gt;2,$B$2+1,$B$2+12+1))+$A$2+D27/24+2-INT(IF($B$2&gt;2,$C$2,$C$2-1)/100)+INT(INT(IF($B$2&gt;2,$C$2,$C$2-1)/100)/4)-1524.5</f>
        <v>2459915.02083333</v>
      </c>
      <c r="I27" s="57" t="n">
        <f aca="false">(H27-2451545)/36525</f>
        <v>0.229158681268453</v>
      </c>
      <c r="J27" s="34" t="n">
        <f aca="false">MOD(357.5291 + 35999.0503*I27 - 0.0001559*I27^2 - 0.00000048*I27^3,360)</f>
        <v>327.02398547524</v>
      </c>
      <c r="K27" s="52" t="n">
        <f aca="false">MOD(280.46645 + 36000.76983*I27 + 0.0003032*I27^2,360)</f>
        <v>250.355404817259</v>
      </c>
      <c r="L27" s="85" t="n">
        <f aca="false"> MOD((1.9146 - 0.004817*I27 - 0.000014*I27^2)*SIN(J27*$A$7) + (0.019993 - 0.000101*I27)*SIN(2*J27*$A$7) + 0.00029*SIN(3*J27*$A$7),360)</f>
        <v>358.939984556354</v>
      </c>
      <c r="M27" s="85" t="n">
        <f aca="false">MOD(K27+L27,360)</f>
        <v>249.295389373613</v>
      </c>
      <c r="N27" s="85" t="n">
        <f aca="false">COS(M27*$A$7)</f>
        <v>-0.353550118387456</v>
      </c>
      <c r="O27" s="85" t="n">
        <f aca="false">COS((23.4393-46.815*I27/3600)*$A$7)*SIN(M27*PI()/180)</f>
        <v>-0.858246312188187</v>
      </c>
      <c r="P27" s="85" t="n">
        <f aca="false">SIN((23.4393-46.815*I27/3600)*$A$7)*SIN(M27*$A$7)</f>
        <v>-0.372042445701553</v>
      </c>
      <c r="Q27" s="85" t="n">
        <f aca="false">SQRT(1-P27^2)</f>
        <v>0.928215717705969</v>
      </c>
      <c r="R27" s="34" t="n">
        <f aca="false">ATAN(P27/Q27)/$A$7</f>
        <v>-21.841635461444</v>
      </c>
      <c r="S27" s="52" t="n">
        <f aca="false">IF(2*ATAN(O27/(N27+Q27))/$A$7&gt;0, 2*ATAN(O27/(N27+Q27))/$A$7, 2*ATAN(O27/(N27+Q27))/$A$7+360)</f>
        <v>247.6110420313</v>
      </c>
      <c r="T27" s="34" t="n">
        <f aca="false">MOD(280.46061837+360.98564736629*(H27-2451545)+0.000387933*I27^2-I27^3/3871000010 + $B$5,360)</f>
        <v>272.84962896537</v>
      </c>
      <c r="U27" s="34" t="n">
        <f aca="false">IF(T27-S27&gt;0,T27-S27,T27-S27+360)</f>
        <v>25.2385869340699</v>
      </c>
      <c r="V27" s="86" t="n">
        <f aca="false">SIN($A$5*$A$7)*SIN(R27*$A$7) +COS($A$5*$A$7)*COS(R27*$A$7)*COS(U27*$A$7)</f>
        <v>0.254688787472322</v>
      </c>
      <c r="W27" s="34" t="n">
        <f aca="false">SIN($A$7*U27)</f>
        <v>0.426388567974085</v>
      </c>
      <c r="X27" s="34" t="n">
        <f aca="false">COS($A$7*U27)*SIN($A$7*$A$5) - TAN($A$7*R27)*COS($A$7*$A$5)</f>
        <v>0.95055659801316</v>
      </c>
      <c r="Y27" s="34" t="n">
        <f aca="false">IF(OR(AND(W27*X27&gt;0), AND(W27&lt;0,X27&gt;0)), MOD(ATAN2(X27,W27)/$A$7+360,360),  ATAN2(X27,W27)/$A$7)</f>
        <v>24.1594426204414</v>
      </c>
    </row>
    <row r="28" customFormat="false" ht="15" hidden="false" customHeight="false" outlineLevel="0" collapsed="false">
      <c r="A28" s="1"/>
      <c r="B28" s="1"/>
      <c r="C28" s="1"/>
      <c r="D28" s="57" t="n">
        <v>13</v>
      </c>
      <c r="E28" s="34" t="n">
        <f aca="false">ASIN(V28)/$A$7</f>
        <v>12.5226486203336</v>
      </c>
      <c r="F28" s="34" t="n">
        <f aca="false">E28+1.02/(TAN($A$7*(E28+10.3/(E28+5.11)))*60)</f>
        <v>12.595662557355</v>
      </c>
      <c r="G28" s="16" t="n">
        <f aca="false">IF(U28&gt;180,Y28-180,Y28+180)</f>
        <v>210.942647896583</v>
      </c>
      <c r="H28" s="34" t="n">
        <f aca="false">INT(365.25*IF($B$2&gt;2,$C$2+4716,$C$2-1+4716))+INT(30.6001*IF($B$2&gt;2,$B$2+1,$B$2+12+1))+$A$2+D28/24+2-INT(IF($B$2&gt;2,$C$2,$C$2-1)/100)+INT(INT(IF($B$2&gt;2,$C$2,$C$2-1)/100)/4)-1524.5</f>
        <v>2459915.04166667</v>
      </c>
      <c r="I28" s="57" t="n">
        <f aca="false">(H28-2451545)/36525</f>
        <v>0.229159251654203</v>
      </c>
      <c r="J28" s="34" t="n">
        <f aca="false">MOD(357.5291 + 35999.0503*I28 - 0.0001559*I28^2 - 0.00000048*I28^3,360)</f>
        <v>327.044518814102</v>
      </c>
      <c r="K28" s="52" t="n">
        <f aca="false">MOD(280.46645 + 36000.76983*I28 + 0.0003032*I28^2,360)</f>
        <v>250.375939137035</v>
      </c>
      <c r="L28" s="85" t="n">
        <f aca="false"> MOD((1.9146 - 0.004817*I28 - 0.000014*I28^2)*SIN(J28*$A$7) + (0.019993 - 0.000101*I28)*SIN(2*J28*$A$7) + 0.00029*SIN(3*J28*$A$7),360)</f>
        <v>358.940565686672</v>
      </c>
      <c r="M28" s="85" t="n">
        <f aca="false">MOD(K28+L28,360)</f>
        <v>249.316504823707</v>
      </c>
      <c r="N28" s="85" t="n">
        <f aca="false">COS(M28*$A$7)</f>
        <v>-0.35320536182052</v>
      </c>
      <c r="O28" s="85" t="n">
        <f aca="false">COS((23.4393-46.815*I28/3600)*$A$7)*SIN(M28*PI()/180)</f>
        <v>-0.858365800224831</v>
      </c>
      <c r="P28" s="85" t="n">
        <f aca="false">SIN((23.4393-46.815*I28/3600)*$A$7)*SIN(M28*$A$7)</f>
        <v>-0.372094242612838</v>
      </c>
      <c r="Q28" s="85" t="n">
        <f aca="false">SQRT(1-P28^2)</f>
        <v>0.928194955068373</v>
      </c>
      <c r="R28" s="34" t="n">
        <f aca="false">ATAN(P28/Q28)/$A$7</f>
        <v>-21.8448327544257</v>
      </c>
      <c r="S28" s="52" t="n">
        <f aca="false">IF(2*ATAN(O28/(N28+Q28))/$A$7&gt;0, 2*ATAN(O28/(N28+Q28))/$A$7, 2*ATAN(O28/(N28+Q28))/$A$7+360)</f>
        <v>247.633528413595</v>
      </c>
      <c r="T28" s="34" t="n">
        <f aca="false">MOD(280.46061837+360.98564736629*(H28-2451545)+0.000387933*I28^2-I28^3/3871000010 + $B$5,360)</f>
        <v>280.370163173415</v>
      </c>
      <c r="U28" s="34" t="n">
        <f aca="false">IF(T28-S28&gt;0,T28-S28,T28-S28+360)</f>
        <v>32.7366347598194</v>
      </c>
      <c r="V28" s="86" t="n">
        <f aca="false">SIN($A$5*$A$7)*SIN(R28*$A$7) +COS($A$5*$A$7)*COS(R28*$A$7)*COS(U28*$A$7)</f>
        <v>0.216825519991495</v>
      </c>
      <c r="W28" s="34" t="n">
        <f aca="false">SIN($A$7*U28)</f>
        <v>0.540778269628625</v>
      </c>
      <c r="X28" s="34" t="n">
        <f aca="false">COS($A$7*U28)*SIN($A$7*$A$5) - TAN($A$7*R28)*COS($A$7*$A$5)</f>
        <v>0.902050228687858</v>
      </c>
      <c r="Y28" s="34" t="n">
        <f aca="false">IF(OR(AND(W28*X28&gt;0), AND(W28&lt;0,X28&gt;0)), MOD(ATAN2(X28,W28)/$A$7+360,360),  ATAN2(X28,W28)/$A$7)</f>
        <v>30.9426478965835</v>
      </c>
    </row>
    <row r="29" customFormat="false" ht="15" hidden="false" customHeight="false" outlineLevel="0" collapsed="false">
      <c r="A29" s="1"/>
      <c r="B29" s="1"/>
      <c r="C29" s="1"/>
      <c r="D29" s="57" t="n">
        <v>13.5</v>
      </c>
      <c r="E29" s="34" t="n">
        <f aca="false">ASIN(V29)/$A$7</f>
        <v>9.8100057793361</v>
      </c>
      <c r="F29" s="34" t="n">
        <f aca="false">E29+1.02/(TAN($A$7*(E29+10.3/(E29+5.11)))*60)</f>
        <v>9.90172640833108</v>
      </c>
      <c r="G29" s="16" t="n">
        <f aca="false">IF(U29&gt;180,Y29-180,Y29+180)</f>
        <v>217.475523021488</v>
      </c>
      <c r="H29" s="34" t="n">
        <f aca="false">INT(365.25*IF($B$2&gt;2,$C$2+4716,$C$2-1+4716))+INT(30.6001*IF($B$2&gt;2,$B$2+1,$B$2+12+1))+$A$2+D29/24+2-INT(IF($B$2&gt;2,$C$2,$C$2-1)/100)+INT(INT(IF($B$2&gt;2,$C$2,$C$2-1)/100)/4)-1524.5</f>
        <v>2459915.0625</v>
      </c>
      <c r="I29" s="57" t="n">
        <f aca="false">(H29-2451545)/36525</f>
        <v>0.229159822039699</v>
      </c>
      <c r="J29" s="34" t="n">
        <f aca="false">MOD(357.5291 + 35999.0503*I29 - 0.0001559*I29^2 - 0.00000048*I29^3,360)</f>
        <v>327.065052153423</v>
      </c>
      <c r="K29" s="52" t="n">
        <f aca="false">MOD(280.46645 + 36000.76983*I29 + 0.0003032*I29^2,360)</f>
        <v>250.396473457271</v>
      </c>
      <c r="L29" s="85" t="n">
        <f aca="false"> MOD((1.9146 - 0.004817*I29 - 0.000014*I29^2)*SIN(J29*$A$7) + (0.019993 - 0.000101*I29)*SIN(2*J29*$A$7) + 0.00029*SIN(3*J29*$A$7),360)</f>
        <v>358.941146960386</v>
      </c>
      <c r="M29" s="85" t="n">
        <f aca="false">MOD(K29+L29,360)</f>
        <v>249.337620417657</v>
      </c>
      <c r="N29" s="85" t="n">
        <f aca="false">COS(M29*$A$7)</f>
        <v>-0.3528605549329</v>
      </c>
      <c r="O29" s="85" t="n">
        <f aca="false">COS((23.4393-46.815*I29/3600)*$A$7)*SIN(M29*PI()/180)</f>
        <v>-0.858485172493332</v>
      </c>
      <c r="P29" s="85" t="n">
        <f aca="false">SIN((23.4393-46.815*I29/3600)*$A$7)*SIN(M29*$A$7)</f>
        <v>-0.372145989339585</v>
      </c>
      <c r="Q29" s="85" t="n">
        <f aca="false">SQRT(1-P29^2)</f>
        <v>0.928174209196992</v>
      </c>
      <c r="R29" s="34" t="n">
        <f aca="false">ATAN(P29/Q29)/$A$7</f>
        <v>-21.8480270210647</v>
      </c>
      <c r="S29" s="52" t="n">
        <f aca="false">IF(2*ATAN(O29/(N29+Q29))/$A$7&gt;0, 2*ATAN(O29/(N29+Q29))/$A$7, 2*ATAN(O29/(N29+Q29))/$A$7+360)</f>
        <v>247.656015954697</v>
      </c>
      <c r="T29" s="34" t="n">
        <f aca="false">MOD(280.46061837+360.98564736629*(H29-2451545)+0.000387933*I29^2-I29^3/3871000010 + $B$5,360)</f>
        <v>287.890697550029</v>
      </c>
      <c r="U29" s="34" t="n">
        <f aca="false">IF(T29-S29&gt;0,T29-S29,T29-S29+360)</f>
        <v>40.2346815953312</v>
      </c>
      <c r="V29" s="86" t="n">
        <f aca="false">SIN($A$5*$A$7)*SIN(R29*$A$7) +COS($A$5*$A$7)*COS(R29*$A$7)*COS(U29*$A$7)</f>
        <v>0.17038158208932</v>
      </c>
      <c r="W29" s="34" t="n">
        <f aca="false">SIN($A$7*U29)</f>
        <v>0.645919901316753</v>
      </c>
      <c r="X29" s="34" t="n">
        <f aca="false">COS($A$7*U29)*SIN($A$7*$A$5) - TAN($A$7*R29)*COS($A$7*$A$5)</f>
        <v>0.842524213131843</v>
      </c>
      <c r="Y29" s="34" t="n">
        <f aca="false">IF(OR(AND(W29*X29&gt;0), AND(W29&lt;0,X29&gt;0)), MOD(ATAN2(X29,W29)/$A$7+360,360),  ATAN2(X29,W29)/$A$7)</f>
        <v>37.4755230214882</v>
      </c>
    </row>
    <row r="30" customFormat="false" ht="15" hidden="false" customHeight="false" outlineLevel="0" collapsed="false">
      <c r="A30" s="1"/>
      <c r="B30" s="1"/>
      <c r="C30" s="1"/>
      <c r="D30" s="57" t="n">
        <v>14</v>
      </c>
      <c r="E30" s="34" t="n">
        <f aca="false">ASIN(V30)/$A$7</f>
        <v>6.67001275039847</v>
      </c>
      <c r="F30" s="34" t="n">
        <f aca="false">E30+1.02/(TAN($A$7*(E30+10.3/(E30+5.11)))*60)</f>
        <v>6.79837228366233</v>
      </c>
      <c r="G30" s="16" t="n">
        <f aca="false">IF(U30&gt;180,Y30-180,Y30+180)</f>
        <v>223.751219019346</v>
      </c>
      <c r="H30" s="34" t="n">
        <f aca="false">INT(365.25*IF($B$2&gt;2,$C$2+4716,$C$2-1+4716))+INT(30.6001*IF($B$2&gt;2,$B$2+1,$B$2+12+1))+$A$2+D30/24+2-INT(IF($B$2&gt;2,$C$2,$C$2-1)/100)+INT(INT(IF($B$2&gt;2,$C$2,$C$2-1)/100)/4)-1524.5</f>
        <v>2459915.08333333</v>
      </c>
      <c r="I30" s="57" t="n">
        <f aca="false">(H30-2451545)/36525</f>
        <v>0.229160392425194</v>
      </c>
      <c r="J30" s="34" t="n">
        <f aca="false">MOD(357.5291 + 35999.0503*I30 - 0.0001559*I30^2 - 0.00000048*I30^3,360)</f>
        <v>327.085585492745</v>
      </c>
      <c r="K30" s="52" t="n">
        <f aca="false">MOD(280.46645 + 36000.76983*I30 + 0.0003032*I30^2,360)</f>
        <v>250.417007777507</v>
      </c>
      <c r="L30" s="85" t="n">
        <f aca="false"> MOD((1.9146 - 0.004817*I30 - 0.000014*I30^2)*SIN(J30*$A$7) + (0.019993 - 0.000101*I30)*SIN(2*J30*$A$7) + 0.00029*SIN(3*J30*$A$7),360)</f>
        <v>358.941728377406</v>
      </c>
      <c r="M30" s="85" t="n">
        <f aca="false">MOD(K30+L30,360)</f>
        <v>249.358736154913</v>
      </c>
      <c r="N30" s="85" t="n">
        <f aca="false">COS(M30*$A$7)</f>
        <v>-0.352515697779429</v>
      </c>
      <c r="O30" s="85" t="n">
        <f aca="false">COS((23.4393-46.815*I30/3600)*$A$7)*SIN(M30*PI()/180)</f>
        <v>-0.858604428971992</v>
      </c>
      <c r="P30" s="85" t="n">
        <f aca="false">SIN((23.4393-46.815*I30/3600)*$A$7)*SIN(M30*$A$7)</f>
        <v>-0.372197685872389</v>
      </c>
      <c r="Q30" s="85" t="n">
        <f aca="false">SQRT(1-P30^2)</f>
        <v>0.928153480105116</v>
      </c>
      <c r="R30" s="34" t="n">
        <f aca="false">ATAN(P30/Q30)/$A$7</f>
        <v>-21.8512182605871</v>
      </c>
      <c r="S30" s="52" t="n">
        <f aca="false">IF(2*ATAN(O30/(N30+Q30))/$A$7&gt;0, 2*ATAN(O30/(N30+Q30))/$A$7, 2*ATAN(O30/(N30+Q30))/$A$7+360)</f>
        <v>247.678504653289</v>
      </c>
      <c r="T30" s="34" t="n">
        <f aca="false">MOD(280.46061837+360.98564736629*(H30-2451545)+0.000387933*I30^2-I30^3/3871000010 + $B$5,360)</f>
        <v>295.411231926177</v>
      </c>
      <c r="U30" s="34" t="n">
        <f aca="false">IF(T30-S30&gt;0,T30-S30,T30-S30+360)</f>
        <v>47.7327272728875</v>
      </c>
      <c r="V30" s="86" t="n">
        <f aca="false">SIN($A$5*$A$7)*SIN(R30*$A$7) +COS($A$5*$A$7)*COS(R30*$A$7)*COS(U30*$A$7)</f>
        <v>0.11615091922428</v>
      </c>
      <c r="W30" s="34" t="n">
        <f aca="false">SIN($A$7*U30)</f>
        <v>0.740015398149409</v>
      </c>
      <c r="X30" s="34" t="n">
        <f aca="false">COS($A$7*U30)*SIN($A$7*$A$5) - TAN($A$7*R30)*COS($A$7*$A$5)</f>
        <v>0.77299724545706</v>
      </c>
      <c r="Y30" s="34" t="n">
        <f aca="false">IF(OR(AND(W30*X30&gt;0), AND(W30&lt;0,X30&gt;0)), MOD(ATAN2(X30,W30)/$A$7+360,360),  ATAN2(X30,W30)/$A$7)</f>
        <v>43.7512190193463</v>
      </c>
    </row>
    <row r="31" customFormat="false" ht="15" hidden="false" customHeight="false" outlineLevel="0" collapsed="false">
      <c r="A31" s="1"/>
      <c r="B31" s="1"/>
      <c r="C31" s="1"/>
      <c r="D31" s="57" t="n">
        <v>14.5</v>
      </c>
      <c r="E31" s="34" t="n">
        <f aca="false">ASIN(V31)/$A$7</f>
        <v>3.15633631888535</v>
      </c>
      <c r="F31" s="34" t="n">
        <f aca="false">E31+1.02/(TAN($A$7*(E31+10.3/(E31+5.11)))*60)</f>
        <v>3.37715244078417</v>
      </c>
      <c r="G31" s="16" t="n">
        <f aca="false">IF(U31&gt;180,Y31-180,Y31+180)</f>
        <v>229.780667566958</v>
      </c>
      <c r="H31" s="34" t="n">
        <f aca="false">INT(365.25*IF($B$2&gt;2,$C$2+4716,$C$2-1+4716))+INT(30.6001*IF($B$2&gt;2,$B$2+1,$B$2+12+1))+$A$2+D31/24+2-INT(IF($B$2&gt;2,$C$2,$C$2-1)/100)+INT(INT(IF($B$2&gt;2,$C$2,$C$2-1)/100)/4)-1524.5</f>
        <v>2459915.10416667</v>
      </c>
      <c r="I31" s="57" t="n">
        <f aca="false">(H31-2451545)/36525</f>
        <v>0.229160962810945</v>
      </c>
      <c r="J31" s="34" t="n">
        <f aca="false">MOD(357.5291 + 35999.0503*I31 - 0.0001559*I31^2 - 0.00000048*I31^3,360)</f>
        <v>327.106118831603</v>
      </c>
      <c r="K31" s="52" t="n">
        <f aca="false">MOD(280.46645 + 36000.76983*I31 + 0.0003032*I31^2,360)</f>
        <v>250.437542097283</v>
      </c>
      <c r="L31" s="85" t="n">
        <f aca="false"> MOD((1.9146 - 0.004817*I31 - 0.000014*I31^2)*SIN(J31*$A$7) + (0.019993 - 0.000101*I31)*SIN(2*J31*$A$7) + 0.00029*SIN(3*J31*$A$7),360)</f>
        <v>358.942309937641</v>
      </c>
      <c r="M31" s="85" t="n">
        <f aca="false">MOD(K31+L31,360)</f>
        <v>249.379852034924</v>
      </c>
      <c r="N31" s="85" t="n">
        <f aca="false">COS(M31*$A$7)</f>
        <v>-0.352170790414958</v>
      </c>
      <c r="O31" s="85" t="n">
        <f aca="false">COS((23.4393-46.815*I31/3600)*$A$7)*SIN(M31*PI()/180)</f>
        <v>-0.858723569639135</v>
      </c>
      <c r="P31" s="85" t="n">
        <f aca="false">SIN((23.4393-46.815*I31/3600)*$A$7)*SIN(M31*$A$7)</f>
        <v>-0.372249332201853</v>
      </c>
      <c r="Q31" s="85" t="n">
        <f aca="false">SQRT(1-P31^2)</f>
        <v>0.928132767806026</v>
      </c>
      <c r="R31" s="34" t="n">
        <f aca="false">ATAN(P31/Q31)/$A$7</f>
        <v>-21.8544064722201</v>
      </c>
      <c r="S31" s="52" t="n">
        <f aca="false">IF(2*ATAN(O31/(N31+Q31))/$A$7&gt;0, 2*ATAN(O31/(N31+Q31))/$A$7, 2*ATAN(O31/(N31+Q31))/$A$7+360)</f>
        <v>247.700994508052</v>
      </c>
      <c r="T31" s="34" t="n">
        <f aca="false">MOD(280.46061837+360.98564736629*(H31-2451545)+0.000387933*I31^2-I31^3/3871000010 + $B$5,360)</f>
        <v>302.931766134221</v>
      </c>
      <c r="U31" s="34" t="n">
        <f aca="false">IF(T31-S31&gt;0,T31-S31,T31-S31+360)</f>
        <v>55.2307716261687</v>
      </c>
      <c r="V31" s="86" t="n">
        <f aca="false">SIN($A$5*$A$7)*SIN(R31*$A$7) +COS($A$5*$A$7)*COS(R31*$A$7)*COS(U31*$A$7)</f>
        <v>0.0550606021130547</v>
      </c>
      <c r="W31" s="34" t="n">
        <f aca="false">SIN($A$7*U31)</f>
        <v>0.821455601655791</v>
      </c>
      <c r="X31" s="34" t="n">
        <f aca="false">COS($A$7*U31)*SIN($A$7*$A$5) - TAN($A$7*R31)*COS($A$7*$A$5)</f>
        <v>0.694659049202622</v>
      </c>
      <c r="Y31" s="34" t="n">
        <f aca="false">IF(OR(AND(W31*X31&gt;0), AND(W31&lt;0,X31&gt;0)), MOD(ATAN2(X31,W31)/$A$7+360,360),  ATAN2(X31,W31)/$A$7)</f>
        <v>49.7806675669578</v>
      </c>
    </row>
    <row r="32" customFormat="false" ht="15" hidden="false" customHeight="false" outlineLevel="0" collapsed="false">
      <c r="A32" s="1"/>
      <c r="B32" s="1"/>
      <c r="C32" s="1"/>
      <c r="D32" s="57" t="n">
        <v>15</v>
      </c>
      <c r="E32" s="34" t="n">
        <f aca="false">ASIN(V32)/$A$7</f>
        <v>-0.678686551359839</v>
      </c>
      <c r="F32" s="34" t="n">
        <f aca="false">E32+1.02/(TAN($A$7*(E32+10.3/(E32+5.11)))*60)</f>
        <v>-0.0869798092446108</v>
      </c>
      <c r="G32" s="16" t="n">
        <f aca="false">IF(U32&gt;180,Y32-180,Y32+180)</f>
        <v>235.589326337418</v>
      </c>
      <c r="H32" s="34" t="n">
        <f aca="false">INT(365.25*IF($B$2&gt;2,$C$2+4716,$C$2-1+4716))+INT(30.6001*IF($B$2&gt;2,$B$2+1,$B$2+12+1))+$A$2+D32/24+2-INT(IF($B$2&gt;2,$C$2,$C$2-1)/100)+INT(INT(IF($B$2&gt;2,$C$2,$C$2-1)/100)/4)-1524.5</f>
        <v>2459915.125</v>
      </c>
      <c r="I32" s="57" t="n">
        <f aca="false">(H32-2451545)/36525</f>
        <v>0.229161533196441</v>
      </c>
      <c r="J32" s="34" t="n">
        <f aca="false">MOD(357.5291 + 35999.0503*I32 - 0.0001559*I32^2 - 0.00000048*I32^3,360)</f>
        <v>327.126652170926</v>
      </c>
      <c r="K32" s="52" t="n">
        <f aca="false">MOD(280.46645 + 36000.76983*I32 + 0.0003032*I32^2,360)</f>
        <v>250.458076417519</v>
      </c>
      <c r="L32" s="85" t="n">
        <f aca="false"> MOD((1.9146 - 0.004817*I32 - 0.000014*I32^2)*SIN(J32*$A$7) + (0.019993 - 0.000101*I32)*SIN(2*J32*$A$7) + 0.00029*SIN(3*J32*$A$7),360)</f>
        <v>358.942891641041</v>
      </c>
      <c r="M32" s="85" t="n">
        <f aca="false">MOD(K32+L32,360)</f>
        <v>249.40096805856</v>
      </c>
      <c r="N32" s="85" t="n">
        <f aca="false">COS(M32*$A$7)</f>
        <v>-0.351825832871151</v>
      </c>
      <c r="O32" s="85" t="n">
        <f aca="false">COS((23.4393-46.815*I32/3600)*$A$7)*SIN(M32*PI()/180)</f>
        <v>-0.858842594481114</v>
      </c>
      <c r="P32" s="85" t="n">
        <f aca="false">SIN((23.4393-46.815*I32/3600)*$A$7)*SIN(M32*$A$7)</f>
        <v>-0.372300928322061</v>
      </c>
      <c r="Q32" s="85" t="n">
        <f aca="false">SQRT(1-P32^2)</f>
        <v>0.928112072311599</v>
      </c>
      <c r="R32" s="34" t="n">
        <f aca="false">ATAN(P32/Q32)/$A$7</f>
        <v>-21.8575916554055</v>
      </c>
      <c r="S32" s="52" t="n">
        <f aca="false">IF(2*ATAN(O32/(N32+Q32))/$A$7&gt;0, 2*ATAN(O32/(N32+Q32))/$A$7, 2*ATAN(O32/(N32+Q32))/$A$7+360)</f>
        <v>247.72348551918</v>
      </c>
      <c r="T32" s="34" t="n">
        <f aca="false">MOD(280.46061837+360.98564736629*(H32-2451545)+0.000387933*I32^2-I32^3/3871000010 + $B$5,360)</f>
        <v>310.452300510369</v>
      </c>
      <c r="U32" s="34" t="n">
        <f aca="false">IF(T32-S32&gt;0,T32-S32,T32-S32+360)</f>
        <v>62.7288149911892</v>
      </c>
      <c r="V32" s="86" t="n">
        <f aca="false">SIN($A$5*$A$7)*SIN(R32*$A$7) +COS($A$5*$A$7)*COS(R32*$A$7)*COS(U32*$A$7)</f>
        <v>-0.0118450379065566</v>
      </c>
      <c r="W32" s="34" t="n">
        <f aca="false">SIN($A$7*U32)</f>
        <v>0.888847782683474</v>
      </c>
      <c r="X32" s="34" t="n">
        <f aca="false">COS($A$7*U32)*SIN($A$7*$A$5) - TAN($A$7*R32)*COS($A$7*$A$5)</f>
        <v>0.608850025046986</v>
      </c>
      <c r="Y32" s="34" t="n">
        <f aca="false">IF(OR(AND(W32*X32&gt;0), AND(W32&lt;0,X32&gt;0)), MOD(ATAN2(X32,W32)/$A$7+360,360),  ATAN2(X32,W32)/$A$7)</f>
        <v>55.5893263374181</v>
      </c>
    </row>
    <row r="33" customFormat="false" ht="15" hidden="false" customHeight="false" outlineLevel="0" collapsed="false">
      <c r="A33" s="1"/>
      <c r="B33" s="1"/>
      <c r="C33" s="1"/>
      <c r="D33" s="57" t="n">
        <v>15.5</v>
      </c>
      <c r="E33" s="34" t="n">
        <f aca="false">ASIN(V33)/$A$7</f>
        <v>-4.78530506146284</v>
      </c>
      <c r="F33" s="34" t="n">
        <f aca="false">E33+1.02/(TAN($A$7*(E33+10.3/(E33+5.11)))*60)</f>
        <v>-4.7518494736649</v>
      </c>
      <c r="G33" s="16" t="n">
        <f aca="false">IF(U33&gt;180,Y33-180,Y33+180)</f>
        <v>241.214144145711</v>
      </c>
      <c r="H33" s="34" t="n">
        <f aca="false">INT(365.25*IF($B$2&gt;2,$C$2+4716,$C$2-1+4716))+INT(30.6001*IF($B$2&gt;2,$B$2+1,$B$2+12+1))+$A$2+D33/24+2-INT(IF($B$2&gt;2,$C$2,$C$2-1)/100)+INT(INT(IF($B$2&gt;2,$C$2,$C$2-1)/100)/4)-1524.5</f>
        <v>2459915.14583333</v>
      </c>
      <c r="I33" s="57" t="n">
        <f aca="false">(H33-2451545)/36525</f>
        <v>0.229162103581936</v>
      </c>
      <c r="J33" s="34" t="n">
        <f aca="false">MOD(357.5291 + 35999.0503*I33 - 0.0001559*I33^2 - 0.00000048*I33^3,360)</f>
        <v>327.147185510245</v>
      </c>
      <c r="K33" s="52" t="n">
        <f aca="false">MOD(280.46645 + 36000.76983*I33 + 0.0003032*I33^2,360)</f>
        <v>250.478610737753</v>
      </c>
      <c r="L33" s="85" t="n">
        <f aca="false"> MOD((1.9146 - 0.004817*I33 - 0.000014*I33^2)*SIN(J33*$A$7) + (0.019993 - 0.000101*I33)*SIN(2*J33*$A$7) + 0.00029*SIN(3*J33*$A$7),360)</f>
        <v>358.943473487515</v>
      </c>
      <c r="M33" s="85" t="n">
        <f aca="false">MOD(K33+L33,360)</f>
        <v>249.422084225268</v>
      </c>
      <c r="N33" s="85" t="n">
        <f aca="false">COS(M33*$A$7)</f>
        <v>-0.351480825202912</v>
      </c>
      <c r="O33" s="85" t="n">
        <f aca="false">COS((23.4393-46.815*I33/3600)*$A$7)*SIN(M33*PI()/180)</f>
        <v>-0.858961503476275</v>
      </c>
      <c r="P33" s="85" t="n">
        <f aca="false">SIN((23.4393-46.815*I33/3600)*$A$7)*SIN(M33*$A$7)</f>
        <v>-0.372352474223626</v>
      </c>
      <c r="Q33" s="85" t="n">
        <f aca="false">SQRT(1-P33^2)</f>
        <v>0.928091393635101</v>
      </c>
      <c r="R33" s="34" t="n">
        <f aca="false">ATAN(P33/Q33)/$A$7</f>
        <v>-21.8607738093712</v>
      </c>
      <c r="S33" s="52" t="n">
        <f aca="false">IF(2*ATAN(O33/(N33+Q33))/$A$7&gt;0, 2*ATAN(O33/(N33+Q33))/$A$7, 2*ATAN(O33/(N33+Q33))/$A$7+360)</f>
        <v>247.74597768535</v>
      </c>
      <c r="T33" s="34" t="n">
        <f aca="false">MOD(280.46061837+360.98564736629*(H33-2451545)+0.000387933*I33^2-I33^3/3871000010 + $B$5,360)</f>
        <v>317.972834886517</v>
      </c>
      <c r="U33" s="34" t="n">
        <f aca="false">IF(T33-S33&gt;0,T33-S33,T33-S33+360)</f>
        <v>70.2268572011675</v>
      </c>
      <c r="V33" s="86" t="n">
        <f aca="false">SIN($A$5*$A$7)*SIN(R33*$A$7) +COS($A$5*$A$7)*COS(R33*$A$7)*COS(U33*$A$7)</f>
        <v>-0.0834222650162616</v>
      </c>
      <c r="W33" s="34" t="n">
        <f aca="false">SIN($A$7*U33)</f>
        <v>0.941039447826093</v>
      </c>
      <c r="X33" s="34" t="n">
        <f aca="false">COS($A$7*U33)*SIN($A$7*$A$5) - TAN($A$7*R33)*COS($A$7*$A$5)</f>
        <v>0.517038338460569</v>
      </c>
      <c r="Y33" s="34" t="n">
        <f aca="false">IF(OR(AND(W33*X33&gt;0), AND(W33&lt;0,X33&gt;0)), MOD(ATAN2(X33,W33)/$A$7+360,360),  ATAN2(X33,W33)/$A$7)</f>
        <v>61.2141441457114</v>
      </c>
    </row>
    <row r="34" customFormat="false" ht="15" hidden="false" customHeight="false" outlineLevel="0" collapsed="false">
      <c r="A34" s="1"/>
      <c r="B34" s="1"/>
      <c r="C34" s="1"/>
      <c r="D34" s="57" t="n">
        <v>16</v>
      </c>
      <c r="E34" s="34" t="n">
        <f aca="false">ASIN(V34)/$A$7</f>
        <v>-9.11679539377547</v>
      </c>
      <c r="F34" s="34" t="n">
        <f aca="false">E34+1.02/(TAN($A$7*(E34+10.3/(E34+5.11)))*60)</f>
        <v>-9.19897609171463</v>
      </c>
      <c r="G34" s="16" t="n">
        <f aca="false">IF(U34&gt;180,Y34-180,Y34+180)</f>
        <v>246.701351492546</v>
      </c>
      <c r="H34" s="34" t="n">
        <f aca="false">INT(365.25*IF($B$2&gt;2,$C$2+4716,$C$2-1+4716))+INT(30.6001*IF($B$2&gt;2,$B$2+1,$B$2+12+1))+$A$2+D34/24+2-INT(IF($B$2&gt;2,$C$2,$C$2-1)/100)+INT(INT(IF($B$2&gt;2,$C$2,$C$2-1)/100)/4)-1524.5</f>
        <v>2459915.16666667</v>
      </c>
      <c r="I34" s="57" t="n">
        <f aca="false">(H34-2451545)/36525</f>
        <v>0.229162673967687</v>
      </c>
      <c r="J34" s="34" t="n">
        <f aca="false">MOD(357.5291 + 35999.0503*I34 - 0.0001559*I34^2 - 0.00000048*I34^3,360)</f>
        <v>327.167718849107</v>
      </c>
      <c r="K34" s="52" t="n">
        <f aca="false">MOD(280.46645 + 36000.76983*I34 + 0.0003032*I34^2,360)</f>
        <v>250.499145057531</v>
      </c>
      <c r="L34" s="85" t="n">
        <f aca="false"> MOD((1.9146 - 0.004817*I34 - 0.000014*I34^2)*SIN(J34*$A$7) + (0.019993 - 0.000101*I34)*SIN(2*J34*$A$7) + 0.00029*SIN(3*J34*$A$7),360)</f>
        <v>358.944055476975</v>
      </c>
      <c r="M34" s="85" t="n">
        <f aca="false">MOD(K34+L34,360)</f>
        <v>249.443200534506</v>
      </c>
      <c r="N34" s="85" t="n">
        <f aca="false">COS(M34*$A$7)</f>
        <v>-0.351135767465031</v>
      </c>
      <c r="O34" s="85" t="n">
        <f aca="false">COS((23.4393-46.815*I34/3600)*$A$7)*SIN(M34*PI()/180)</f>
        <v>-0.859080296603033</v>
      </c>
      <c r="P34" s="85" t="n">
        <f aca="false">SIN((23.4393-46.815*I34/3600)*$A$7)*SIN(M34*$A$7)</f>
        <v>-0.372403969897192</v>
      </c>
      <c r="Q34" s="85" t="n">
        <f aca="false">SQRT(1-P34^2)</f>
        <v>0.928070731789777</v>
      </c>
      <c r="R34" s="34" t="n">
        <f aca="false">ATAN(P34/Q34)/$A$7</f>
        <v>-21.8639529333468</v>
      </c>
      <c r="S34" s="52" t="n">
        <f aca="false">IF(2*ATAN(O34/(N34+Q34))/$A$7&gt;0, 2*ATAN(O34/(N34+Q34))/$A$7, 2*ATAN(O34/(N34+Q34))/$A$7+360)</f>
        <v>247.768471005247</v>
      </c>
      <c r="T34" s="34" t="n">
        <f aca="false">MOD(280.46061837+360.98564736629*(H34-2451545)+0.000387933*I34^2-I34^3/3871000010 + $B$5,360)</f>
        <v>325.493369095027</v>
      </c>
      <c r="U34" s="34" t="n">
        <f aca="false">IF(T34-S34&gt;0,T34-S34,T34-S34+360)</f>
        <v>77.7248980897806</v>
      </c>
      <c r="V34" s="86" t="n">
        <f aca="false">SIN($A$5*$A$7)*SIN(R34*$A$7) +COS($A$5*$A$7)*COS(R34*$A$7)*COS(U34*$A$7)</f>
        <v>-0.158447505923022</v>
      </c>
      <c r="W34" s="34" t="n">
        <f aca="false">SIN($A$7*U34)</f>
        <v>0.977138055311904</v>
      </c>
      <c r="X34" s="34" t="n">
        <f aca="false">COS($A$7*U34)*SIN($A$7*$A$5) - TAN($A$7*R34)*COS($A$7*$A$5)</f>
        <v>0.420794807322484</v>
      </c>
      <c r="Y34" s="34" t="n">
        <f aca="false">IF(OR(AND(W34*X34&gt;0), AND(W34&lt;0,X34&gt;0)), MOD(ATAN2(X34,W34)/$A$7+360,360),  ATAN2(X34,W34)/$A$7)</f>
        <v>66.7013514925459</v>
      </c>
    </row>
    <row r="35" customFormat="false" ht="15" hidden="false" customHeight="false" outlineLevel="0" collapsed="false">
      <c r="A35" s="1"/>
      <c r="B35" s="1"/>
      <c r="C35" s="1"/>
      <c r="D35" s="57" t="n">
        <v>16.5</v>
      </c>
      <c r="E35" s="34" t="n">
        <f aca="false">ASIN(V35)/$A$7</f>
        <v>-13.6292503537515</v>
      </c>
      <c r="F35" s="34" t="n">
        <f aca="false">E35+1.02/(TAN($A$7*(E35+10.3/(E35+5.11)))*60)</f>
        <v>-13.6934191634601</v>
      </c>
      <c r="G35" s="16" t="n">
        <f aca="false">IF(U35&gt;180,Y35-180,Y35+180)</f>
        <v>252.105372461108</v>
      </c>
      <c r="H35" s="34" t="n">
        <f aca="false">INT(365.25*IF($B$2&gt;2,$C$2+4716,$C$2-1+4716))+INT(30.6001*IF($B$2&gt;2,$B$2+1,$B$2+12+1))+$A$2+D35/24+2-INT(IF($B$2&gt;2,$C$2,$C$2-1)/100)+INT(INT(IF($B$2&gt;2,$C$2,$C$2-1)/100)/4)-1524.5</f>
        <v>2459915.1875</v>
      </c>
      <c r="I35" s="57" t="n">
        <f aca="false">(H35-2451545)/36525</f>
        <v>0.229163244353183</v>
      </c>
      <c r="J35" s="34" t="n">
        <f aca="false">MOD(357.5291 + 35999.0503*I35 - 0.0001559*I35^2 - 0.00000048*I35^3,360)</f>
        <v>327.188252188429</v>
      </c>
      <c r="K35" s="52" t="n">
        <f aca="false">MOD(280.46645 + 36000.76983*I35 + 0.0003032*I35^2,360)</f>
        <v>250.519679377767</v>
      </c>
      <c r="L35" s="85" t="n">
        <f aca="false"> MOD((1.9146 - 0.004817*I35 - 0.000014*I35^2)*SIN(J35*$A$7) + (0.019993 - 0.000101*I35)*SIN(2*J35*$A$7) + 0.00029*SIN(3*J35*$A$7),360)</f>
        <v>358.944637609369</v>
      </c>
      <c r="M35" s="85" t="n">
        <f aca="false">MOD(K35+L35,360)</f>
        <v>249.464316987135</v>
      </c>
      <c r="N35" s="85" t="n">
        <f aca="false">COS(M35*$A$7)</f>
        <v>-0.350790659689285</v>
      </c>
      <c r="O35" s="85" t="n">
        <f aca="false">COS((23.4393-46.815*I35/3600)*$A$7)*SIN(M35*PI()/180)</f>
        <v>-0.859198973847744</v>
      </c>
      <c r="P35" s="85" t="n">
        <f aca="false">SIN((23.4393-46.815*I35/3600)*$A$7)*SIN(M35*$A$7)</f>
        <v>-0.372455415336843</v>
      </c>
      <c r="Q35" s="85" t="n">
        <f aca="false">SQRT(1-P35^2)</f>
        <v>0.928050086787486</v>
      </c>
      <c r="R35" s="34" t="n">
        <f aca="false">ATAN(P35/Q35)/$A$7</f>
        <v>-21.8671290267745</v>
      </c>
      <c r="S35" s="52" t="n">
        <f aca="false">IF(2*ATAN(O35/(N35+Q35))/$A$7&gt;0, 2*ATAN(O35/(N35+Q35))/$A$7, 2*ATAN(O35/(N35+Q35))/$A$7+360)</f>
        <v>247.790965479056</v>
      </c>
      <c r="T35" s="34" t="n">
        <f aca="false">MOD(280.46061837+360.98564736629*(H35-2451545)+0.000387933*I35^2-I35^3/3871000010 + $B$5,360)</f>
        <v>333.013903471176</v>
      </c>
      <c r="U35" s="34" t="n">
        <f aca="false">IF(T35-S35&gt;0,T35-S35,T35-S35+360)</f>
        <v>85.2229379921197</v>
      </c>
      <c r="V35" s="86" t="n">
        <f aca="false">SIN($A$5*$A$7)*SIN(R35*$A$7) +COS($A$5*$A$7)*COS(R35*$A$7)*COS(U35*$A$7)</f>
        <v>-0.235638283090115</v>
      </c>
      <c r="W35" s="34" t="n">
        <f aca="false">SIN($A$7*U35)</f>
        <v>0.996526279271735</v>
      </c>
      <c r="X35" s="34" t="n">
        <f aca="false">COS($A$7*U35)*SIN($A$7*$A$5) - TAN($A$7*R35)*COS($A$7*$A$5)</f>
        <v>0.321766031713892</v>
      </c>
      <c r="Y35" s="34" t="n">
        <f aca="false">IF(OR(AND(W35*X35&gt;0), AND(W35&lt;0,X35&gt;0)), MOD(ATAN2(X35,W35)/$A$7+360,360),  ATAN2(X35,W35)/$A$7)</f>
        <v>72.1053724611081</v>
      </c>
    </row>
    <row r="36" customFormat="false" ht="15" hidden="false" customHeight="false" outlineLevel="0" collapsed="false">
      <c r="A36" s="1"/>
      <c r="B36" s="1"/>
      <c r="C36" s="1"/>
      <c r="D36" s="57" t="n">
        <v>17</v>
      </c>
      <c r="E36" s="34" t="n">
        <f aca="false">ASIN(V36)/$A$7</f>
        <v>-18.280851654111</v>
      </c>
      <c r="F36" s="34" t="n">
        <f aca="false">E36+1.02/(TAN($A$7*(E36+10.3/(E36+5.11)))*60)</f>
        <v>-18.3300477766766</v>
      </c>
      <c r="G36" s="16" t="n">
        <f aca="false">IF(U36&gt;180,Y36-180,Y36+180)</f>
        <v>257.488982041841</v>
      </c>
      <c r="H36" s="34" t="n">
        <f aca="false">INT(365.25*IF($B$2&gt;2,$C$2+4716,$C$2-1+4716))+INT(30.6001*IF($B$2&gt;2,$B$2+1,$B$2+12+1))+$A$2+D36/24+2-INT(IF($B$2&gt;2,$C$2,$C$2-1)/100)+INT(INT(IF($B$2&gt;2,$C$2,$C$2-1)/100)/4)-1524.5</f>
        <v>2459915.20833333</v>
      </c>
      <c r="I36" s="57" t="n">
        <f aca="false">(H36-2451545)/36525</f>
        <v>0.229163814738678</v>
      </c>
      <c r="J36" s="34" t="n">
        <f aca="false">MOD(357.5291 + 35999.0503*I36 - 0.0001559*I36^2 - 0.00000048*I36^3,360)</f>
        <v>327.208785527748</v>
      </c>
      <c r="K36" s="52" t="n">
        <f aca="false">MOD(280.46645 + 36000.76983*I36 + 0.0003032*I36^2,360)</f>
        <v>250.540213698003</v>
      </c>
      <c r="L36" s="85" t="n">
        <f aca="false"> MOD((1.9146 - 0.004817*I36 - 0.000014*I36^2)*SIN(J36*$A$7) + (0.019993 - 0.000101*I36)*SIN(2*J36*$A$7) + 0.00029*SIN(3*J36*$A$7),360)</f>
        <v>358.945219884606</v>
      </c>
      <c r="M36" s="85" t="n">
        <f aca="false">MOD(K36+L36,360)</f>
        <v>249.485433582609</v>
      </c>
      <c r="N36" s="85" t="n">
        <f aca="false">COS(M36*$A$7)</f>
        <v>-0.350445501930551</v>
      </c>
      <c r="O36" s="85" t="n">
        <f aca="false">COS((23.4393-46.815*I36/3600)*$A$7)*SIN(M36*PI()/180)</f>
        <v>-0.85931753518883</v>
      </c>
      <c r="P36" s="85" t="n">
        <f aca="false">SIN((23.4393-46.815*I36/3600)*$A$7)*SIN(M36*$A$7)</f>
        <v>-0.372506810533228</v>
      </c>
      <c r="Q36" s="85" t="n">
        <f aca="false">SQRT(1-P36^2)</f>
        <v>0.92802945864146</v>
      </c>
      <c r="R36" s="34" t="n">
        <f aca="false">ATAN(P36/Q36)/$A$7</f>
        <v>-21.8703020888844</v>
      </c>
      <c r="S36" s="52" t="n">
        <f aca="false">IF(2*ATAN(O36/(N36+Q36))/$A$7&gt;0, 2*ATAN(O36/(N36+Q36))/$A$7, 2*ATAN(O36/(N36+Q36))/$A$7+360)</f>
        <v>247.813461105456</v>
      </c>
      <c r="T36" s="34" t="n">
        <f aca="false">MOD(280.46061837+360.98564736629*(H36-2451545)+0.000387933*I36^2-I36^3/3871000010 + $B$5,360)</f>
        <v>340.534437847324</v>
      </c>
      <c r="U36" s="34" t="n">
        <f aca="false">IF(T36-S36&gt;0,T36-S36,T36-S36+360)</f>
        <v>92.720976741868</v>
      </c>
      <c r="V36" s="86" t="n">
        <f aca="false">SIN($A$5*$A$7)*SIN(R36*$A$7) +COS($A$5*$A$7)*COS(R36*$A$7)*COS(U36*$A$7)</f>
        <v>-0.313675138846651</v>
      </c>
      <c r="W36" s="34" t="n">
        <f aca="false">SIN($A$7*U36)</f>
        <v>0.998872561723342</v>
      </c>
      <c r="X36" s="34" t="n">
        <f aca="false">COS($A$7*U36)*SIN($A$7*$A$5) - TAN($A$7*R36)*COS($A$7*$A$5)</f>
        <v>0.221646247617453</v>
      </c>
      <c r="Y36" s="34" t="n">
        <f aca="false">IF(OR(AND(W36*X36&gt;0), AND(W36&lt;0,X36&gt;0)), MOD(ATAN2(X36,W36)/$A$7+360,360),  ATAN2(X36,W36)/$A$7)</f>
        <v>77.4889820418405</v>
      </c>
    </row>
    <row r="37" customFormat="false" ht="15" hidden="false" customHeight="false" outlineLevel="0" collapsed="false">
      <c r="A37" s="1"/>
      <c r="B37" s="1"/>
      <c r="C37" s="1"/>
      <c r="D37" s="57" t="n">
        <v>17.5</v>
      </c>
      <c r="E37" s="34" t="n">
        <f aca="false">ASIN(V37)/$A$7</f>
        <v>-23.0306945287658</v>
      </c>
      <c r="F37" s="34" t="n">
        <f aca="false">E37+1.02/(TAN($A$7*(E37+10.3/(E37+5.11)))*60)</f>
        <v>-23.0695959063964</v>
      </c>
      <c r="G37" s="16" t="n">
        <f aca="false">IF(U37&gt;180,Y37-180,Y37+180)</f>
        <v>262.924789046488</v>
      </c>
      <c r="H37" s="34" t="n">
        <f aca="false">INT(365.25*IF($B$2&gt;2,$C$2+4716,$C$2-1+4716))+INT(30.6001*IF($B$2&gt;2,$B$2+1,$B$2+12+1))+$A$2+D37/24+2-INT(IF($B$2&gt;2,$C$2,$C$2-1)/100)+INT(INT(IF($B$2&gt;2,$C$2,$C$2-1)/100)/4)-1524.5</f>
        <v>2459915.22916667</v>
      </c>
      <c r="I37" s="57" t="n">
        <f aca="false">(H37-2451545)/36525</f>
        <v>0.229164385124429</v>
      </c>
      <c r="J37" s="34" t="n">
        <f aca="false">MOD(357.5291 + 35999.0503*I37 - 0.0001559*I37^2 - 0.00000048*I37^3,360)</f>
        <v>327.229318866612</v>
      </c>
      <c r="K37" s="52" t="n">
        <f aca="false">MOD(280.46645 + 36000.76983*I37 + 0.0003032*I37^2,360)</f>
        <v>250.560748017781</v>
      </c>
      <c r="L37" s="85" t="n">
        <f aca="false"> MOD((1.9146 - 0.004817*I37 - 0.000014*I37^2)*SIN(J37*$A$7) + (0.019993 - 0.000101*I37)*SIN(2*J37*$A$7) + 0.00029*SIN(3*J37*$A$7),360)</f>
        <v>358.945802302597</v>
      </c>
      <c r="M37" s="85" t="n">
        <f aca="false">MOD(K37+L37,360)</f>
        <v>249.506550320378</v>
      </c>
      <c r="N37" s="85" t="n">
        <f aca="false">COS(M37*$A$7)</f>
        <v>-0.350100294243701</v>
      </c>
      <c r="O37" s="85" t="n">
        <f aca="false">COS((23.4393-46.815*I37/3600)*$A$7)*SIN(M37*PI()/180)</f>
        <v>-0.859435980604748</v>
      </c>
      <c r="P37" s="85" t="n">
        <f aca="false">SIN((23.4393-46.815*I37/3600)*$A$7)*SIN(M37*$A$7)</f>
        <v>-0.372558155477005</v>
      </c>
      <c r="Q37" s="85" t="n">
        <f aca="false">SQRT(1-P37^2)</f>
        <v>0.928008847364922</v>
      </c>
      <c r="R37" s="34" t="n">
        <f aca="false">ATAN(P37/Q37)/$A$7</f>
        <v>-21.8734721189076</v>
      </c>
      <c r="S37" s="52" t="n">
        <f aca="false">IF(2*ATAN(O37/(N37+Q37))/$A$7&gt;0, 2*ATAN(O37/(N37+Q37))/$A$7, 2*ATAN(O37/(N37+Q37))/$A$7+360)</f>
        <v>247.835957883126</v>
      </c>
      <c r="T37" s="34" t="n">
        <f aca="false">MOD(280.46061837+360.98564736629*(H37-2451545)+0.000387933*I37^2-I37^3/3871000010 + $B$5,360)</f>
        <v>348.054972055368</v>
      </c>
      <c r="U37" s="34" t="n">
        <f aca="false">IF(T37-S37&gt;0,T37-S37,T37-S37+360)</f>
        <v>100.219014172242</v>
      </c>
      <c r="V37" s="86" t="n">
        <f aca="false">SIN($A$5*$A$7)*SIN(R37*$A$7) +COS($A$5*$A$7)*COS(R37*$A$7)*COS(U37*$A$7)</f>
        <v>-0.391224205799001</v>
      </c>
      <c r="W37" s="34" t="n">
        <f aca="false">SIN($A$7*U37)</f>
        <v>0.984136786449083</v>
      </c>
      <c r="X37" s="34" t="n">
        <f aca="false">COS($A$7*U37)*SIN($A$7*$A$5) - TAN($A$7*R37)*COS($A$7*$A$5)</f>
        <v>0.122148346880354</v>
      </c>
      <c r="Y37" s="34" t="n">
        <f aca="false">IF(OR(AND(W37*X37&gt;0), AND(W37&lt;0,X37&gt;0)), MOD(ATAN2(X37,W37)/$A$7+360,360),  ATAN2(X37,W37)/$A$7)</f>
        <v>82.9247890464881</v>
      </c>
    </row>
    <row r="38" customFormat="false" ht="15" hidden="false" customHeight="false" outlineLevel="0" collapsed="false">
      <c r="A38" s="1"/>
      <c r="B38" s="1"/>
      <c r="C38" s="1"/>
      <c r="D38" s="57" t="n">
        <v>18</v>
      </c>
      <c r="E38" s="34" t="n">
        <f aca="false">ASIN(V38)/$A$7</f>
        <v>-27.8371452976209</v>
      </c>
      <c r="F38" s="34" t="n">
        <f aca="false">E38+1.02/(TAN($A$7*(E38+10.3/(E38+5.11)))*60)</f>
        <v>-27.868730469697</v>
      </c>
      <c r="G38" s="16" t="n">
        <f aca="false">IF(U38&gt;180,Y38-180,Y38+180)</f>
        <v>268.498158960736</v>
      </c>
      <c r="H38" s="34" t="n">
        <f aca="false">INT(365.25*IF($B$2&gt;2,$C$2+4716,$C$2-1+4716))+INT(30.6001*IF($B$2&gt;2,$B$2+1,$B$2+12+1))+$A$2+D38/24+2-INT(IF($B$2&gt;2,$C$2,$C$2-1)/100)+INT(INT(IF($B$2&gt;2,$C$2,$C$2-1)/100)/4)-1524.5</f>
        <v>2459915.25</v>
      </c>
      <c r="I38" s="57" t="n">
        <f aca="false">(H38-2451545)/36525</f>
        <v>0.229164955509925</v>
      </c>
      <c r="J38" s="34" t="n">
        <f aca="false">MOD(357.5291 + 35999.0503*I38 - 0.0001559*I38^2 - 0.00000048*I38^3,360)</f>
        <v>327.24985220593</v>
      </c>
      <c r="K38" s="52" t="n">
        <f aca="false">MOD(280.46645 + 36000.76983*I38 + 0.0003032*I38^2,360)</f>
        <v>250.581282338015</v>
      </c>
      <c r="L38" s="85" t="n">
        <f aca="false"> MOD((1.9146 - 0.004817*I38 - 0.000014*I38^2)*SIN(J38*$A$7) + (0.019993 - 0.000101*I38)*SIN(2*J38*$A$7) + 0.00029*SIN(3*J38*$A$7),360)</f>
        <v>358.946384863292</v>
      </c>
      <c r="M38" s="85" t="n">
        <f aca="false">MOD(K38+L38,360)</f>
        <v>249.527667201306</v>
      </c>
      <c r="N38" s="85" t="n">
        <f aca="false">COS(M38*$A$7)</f>
        <v>-0.349755036660549</v>
      </c>
      <c r="O38" s="85" t="n">
        <f aca="false">COS((23.4393-46.815*I38/3600)*$A$7)*SIN(M38*PI()/180)</f>
        <v>-0.859554310081884</v>
      </c>
      <c r="P38" s="85" t="n">
        <f aca="false">SIN((23.4393-46.815*I38/3600)*$A$7)*SIN(M38*$A$7)</f>
        <v>-0.372609450162275</v>
      </c>
      <c r="Q38" s="85" t="n">
        <f aca="false">SQRT(1-P38^2)</f>
        <v>0.927988252969706</v>
      </c>
      <c r="R38" s="34" t="n">
        <f aca="false">ATAN(P38/Q38)/$A$7</f>
        <v>-21.8766391162872</v>
      </c>
      <c r="S38" s="52" t="n">
        <f aca="false">IF(2*ATAN(O38/(N38+Q38))/$A$7&gt;0, 2*ATAN(O38/(N38+Q38))/$A$7, 2*ATAN(O38/(N38+Q38))/$A$7+360)</f>
        <v>247.858455812247</v>
      </c>
      <c r="T38" s="34" t="n">
        <f aca="false">MOD(280.46061837+360.98564736629*(H38-2451545)+0.000387933*I38^2-I38^3/3871000010 + $B$5,360)</f>
        <v>355.575506431516</v>
      </c>
      <c r="U38" s="34" t="n">
        <f aca="false">IF(T38-S38&gt;0,T38-S38,T38-S38+360)</f>
        <v>107.717050619269</v>
      </c>
      <c r="V38" s="86" t="n">
        <f aca="false">SIN($A$5*$A$7)*SIN(R38*$A$7) +COS($A$5*$A$7)*COS(R38*$A$7)*COS(U38*$A$7)</f>
        <v>-0.466960022985302</v>
      </c>
      <c r="W38" s="34" t="n">
        <f aca="false">SIN($A$7*U38)</f>
        <v>0.952570962041231</v>
      </c>
      <c r="X38" s="34" t="n">
        <f aca="false">COS($A$7*U38)*SIN($A$7*$A$5) - TAN($A$7*R38)*COS($A$7*$A$5)</f>
        <v>0.0249745777126306</v>
      </c>
      <c r="Y38" s="34" t="n">
        <f aca="false">IF(OR(AND(W38*X38&gt;0), AND(W38&lt;0,X38&gt;0)), MOD(ATAN2(X38,W38)/$A$7+360,360),  ATAN2(X38,W38)/$A$7)</f>
        <v>88.4981589607359</v>
      </c>
    </row>
    <row r="39" customFormat="false" ht="15" hidden="false" customHeight="false" outlineLevel="0" collapsed="false">
      <c r="A39" s="1"/>
      <c r="B39" s="1"/>
      <c r="C39" s="1"/>
      <c r="D39" s="57" t="n">
        <v>18.5</v>
      </c>
      <c r="E39" s="34" t="n">
        <f aca="false">ASIN(V39)/$A$7</f>
        <v>-32.6556096632797</v>
      </c>
      <c r="F39" s="34" t="n">
        <f aca="false">E39+1.02/(TAN($A$7*(E39+10.3/(E39+5.11)))*60)</f>
        <v>-32.6817578487457</v>
      </c>
      <c r="G39" s="16" t="n">
        <f aca="false">IF(U39&gt;180,Y39-180,Y39+180)</f>
        <v>274.311756882457</v>
      </c>
      <c r="H39" s="34" t="n">
        <f aca="false">INT(365.25*IF($B$2&gt;2,$C$2+4716,$C$2-1+4716))+INT(30.6001*IF($B$2&gt;2,$B$2+1,$B$2+12+1))+$A$2+D39/24+2-INT(IF($B$2&gt;2,$C$2,$C$2-1)/100)+INT(INT(IF($B$2&gt;2,$C$2,$C$2-1)/100)/4)-1524.5</f>
        <v>2459915.27083333</v>
      </c>
      <c r="I39" s="57" t="n">
        <f aca="false">(H39-2451545)/36525</f>
        <v>0.22916552589542</v>
      </c>
      <c r="J39" s="34" t="n">
        <f aca="false">MOD(357.5291 + 35999.0503*I39 - 0.0001559*I39^2 - 0.00000048*I39^3,360)</f>
        <v>327.270385545251</v>
      </c>
      <c r="K39" s="52" t="n">
        <f aca="false">MOD(280.46645 + 36000.76983*I39 + 0.0003032*I39^2,360)</f>
        <v>250.601816658251</v>
      </c>
      <c r="L39" s="85" t="n">
        <f aca="false"> MOD((1.9146 - 0.004817*I39 - 0.000014*I39^2)*SIN(J39*$A$7) + (0.019993 - 0.000101*I39)*SIN(2*J39*$A$7) + 0.00029*SIN(3*J39*$A$7),360)</f>
        <v>358.946967566599</v>
      </c>
      <c r="M39" s="85" t="n">
        <f aca="false">MOD(K39+L39,360)</f>
        <v>249.54878422485</v>
      </c>
      <c r="N39" s="85" t="n">
        <f aca="false">COS(M39*$A$7)</f>
        <v>-0.349409729235928</v>
      </c>
      <c r="O39" s="85" t="n">
        <f aca="false">COS((23.4393-46.815*I39/3600)*$A$7)*SIN(M39*PI()/180)</f>
        <v>-0.859672523598746</v>
      </c>
      <c r="P39" s="85" t="n">
        <f aca="false">SIN((23.4393-46.815*I39/3600)*$A$7)*SIN(M39*$A$7)</f>
        <v>-0.37266069457972</v>
      </c>
      <c r="Q39" s="85" t="n">
        <f aca="false">SQRT(1-P39^2)</f>
        <v>0.927967675469012</v>
      </c>
      <c r="R39" s="34" t="n">
        <f aca="false">ATAN(P39/Q39)/$A$7</f>
        <v>-21.8798030802558</v>
      </c>
      <c r="S39" s="52" t="n">
        <f aca="false">IF(2*ATAN(O39/(N39+Q39))/$A$7&gt;0, 2*ATAN(O39/(N39+Q39))/$A$7, 2*ATAN(O39/(N39+Q39))/$A$7+360)</f>
        <v>247.880954891502</v>
      </c>
      <c r="T39" s="34" t="n">
        <f aca="false">MOD(280.46061837+360.98564736629*(H39-2451545)+0.000387933*I39^2-I39^3/3871000010 + $B$5,360)</f>
        <v>3.09604080813006</v>
      </c>
      <c r="U39" s="34" t="n">
        <f aca="false">IF(T39-S39&gt;0,T39-S39,T39-S39+360)</f>
        <v>115.215085916628</v>
      </c>
      <c r="V39" s="86" t="n">
        <f aca="false">SIN($A$5*$A$7)*SIN(R39*$A$7) +COS($A$5*$A$7)*COS(R39*$A$7)*COS(U39*$A$7)</f>
        <v>-0.539588191587033</v>
      </c>
      <c r="W39" s="34" t="n">
        <f aca="false">SIN($A$7*U39)</f>
        <v>0.904714913877292</v>
      </c>
      <c r="X39" s="34" t="n">
        <f aca="false">COS($A$7*U39)*SIN($A$7*$A$5) - TAN($A$7*R39)*COS($A$7*$A$5)</f>
        <v>-0.0682125526853574</v>
      </c>
      <c r="Y39" s="34" t="n">
        <f aca="false">IF(OR(AND(W39*X39&gt;0), AND(W39&lt;0,X39&gt;0)), MOD(ATAN2(X39,W39)/$A$7+360,360),  ATAN2(X39,W39)/$A$7)</f>
        <v>94.3117568824566</v>
      </c>
    </row>
    <row r="40" customFormat="false" ht="15" hidden="false" customHeight="false" outlineLevel="0" collapsed="false">
      <c r="A40" s="1"/>
      <c r="B40" s="1"/>
      <c r="C40" s="1"/>
      <c r="D40" s="57" t="n">
        <v>19</v>
      </c>
      <c r="E40" s="34" t="n">
        <f aca="false">ASIN(V40)/$A$7</f>
        <v>-37.4354695712512</v>
      </c>
      <c r="F40" s="34" t="n">
        <f aca="false">E40+1.02/(TAN($A$7*(E40+10.3/(E40+5.11)))*60)</f>
        <v>-37.4574221271813</v>
      </c>
      <c r="G40" s="16" t="n">
        <f aca="false">IF(U40&gt;180,Y40-180,Y40+180)</f>
        <v>280.491891730511</v>
      </c>
      <c r="H40" s="34" t="n">
        <f aca="false">INT(365.25*IF($B$2&gt;2,$C$2+4716,$C$2-1+4716))+INT(30.6001*IF($B$2&gt;2,$B$2+1,$B$2+12+1))+$A$2+D40/24+2-INT(IF($B$2&gt;2,$C$2,$C$2-1)/100)+INT(INT(IF($B$2&gt;2,$C$2,$C$2-1)/100)/4)-1524.5</f>
        <v>2459915.29166667</v>
      </c>
      <c r="I40" s="57" t="n">
        <f aca="false">(H40-2451545)/36525</f>
        <v>0.229166096281171</v>
      </c>
      <c r="J40" s="34" t="n">
        <f aca="false">MOD(357.5291 + 35999.0503*I40 - 0.0001559*I40^2 - 0.00000048*I40^3,360)</f>
        <v>327.290918884113</v>
      </c>
      <c r="K40" s="52" t="n">
        <f aca="false">MOD(280.46645 + 36000.76983*I40 + 0.0003032*I40^2,360)</f>
        <v>250.622350978027</v>
      </c>
      <c r="L40" s="85" t="n">
        <f aca="false"> MOD((1.9146 - 0.004817*I40 - 0.000014*I40^2)*SIN(J40*$A$7) + (0.019993 - 0.000101*I40)*SIN(2*J40*$A$7) + 0.00029*SIN(3*J40*$A$7),360)</f>
        <v>358.947550412429</v>
      </c>
      <c r="M40" s="85" t="n">
        <f aca="false">MOD(K40+L40,360)</f>
        <v>249.569901390455</v>
      </c>
      <c r="N40" s="85" t="n">
        <f aca="false">COS(M40*$A$7)</f>
        <v>-0.349064372024818</v>
      </c>
      <c r="O40" s="85" t="n">
        <f aca="false">COS((23.4393-46.815*I40/3600)*$A$7)*SIN(M40*PI()/180)</f>
        <v>-0.859790621133819</v>
      </c>
      <c r="P40" s="85" t="n">
        <f aca="false">SIN((23.4393-46.815*I40/3600)*$A$7)*SIN(M40*$A$7)</f>
        <v>-0.372711888720014</v>
      </c>
      <c r="Q40" s="85" t="n">
        <f aca="false">SQRT(1-P40^2)</f>
        <v>0.927947114876036</v>
      </c>
      <c r="R40" s="34" t="n">
        <f aca="false">ATAN(P40/Q40)/$A$7</f>
        <v>-21.8829640100454</v>
      </c>
      <c r="S40" s="52" t="n">
        <f aca="false">IF(2*ATAN(O40/(N40+Q40))/$A$7&gt;0, 2*ATAN(O40/(N40+Q40))/$A$7, 2*ATAN(O40/(N40+Q40))/$A$7+360)</f>
        <v>247.903455119561</v>
      </c>
      <c r="T40" s="34" t="n">
        <f aca="false">MOD(280.46061837+360.98564736629*(H40-2451545)+0.000387933*I40^2-I40^3/3871000010 + $B$5,360)</f>
        <v>10.6165750161745</v>
      </c>
      <c r="U40" s="34" t="n">
        <f aca="false">IF(T40-S40&gt;0,T40-S40,T40-S40+360)</f>
        <v>122.713119896614</v>
      </c>
      <c r="V40" s="86" t="n">
        <f aca="false">SIN($A$5*$A$7)*SIN(R40*$A$7) +COS($A$5*$A$7)*COS(R40*$A$7)*COS(U40*$A$7)</f>
        <v>-0.60786751426024</v>
      </c>
      <c r="W40" s="34" t="n">
        <f aca="false">SIN($A$7*U40)</f>
        <v>0.841387052742037</v>
      </c>
      <c r="X40" s="34" t="n">
        <f aca="false">COS($A$7*U40)*SIN($A$7*$A$5) - TAN($A$7*R40)*COS($A$7*$A$5)</f>
        <v>-0.155818716160776</v>
      </c>
      <c r="Y40" s="34" t="n">
        <f aca="false">IF(OR(AND(W40*X40&gt;0), AND(W40&lt;0,X40&gt;0)), MOD(ATAN2(X40,W40)/$A$7+360,360),  ATAN2(X40,W40)/$A$7)</f>
        <v>100.491891730511</v>
      </c>
    </row>
    <row r="41" customFormat="false" ht="15" hidden="false" customHeight="false" outlineLevel="0" collapsed="false">
      <c r="A41" s="1"/>
      <c r="B41" s="1"/>
      <c r="C41" s="1"/>
      <c r="D41" s="57" t="n">
        <v>19.5</v>
      </c>
      <c r="E41" s="34" t="n">
        <f aca="false">ASIN(V41)/$A$7</f>
        <v>-42.115801564085</v>
      </c>
      <c r="F41" s="34" t="n">
        <f aca="false">E41+1.02/(TAN($A$7*(E41+10.3/(E41+5.11)))*60)</f>
        <v>-42.1344227664587</v>
      </c>
      <c r="G41" s="16" t="n">
        <f aca="false">IF(U41&gt;180,Y41-180,Y41+180)</f>
        <v>287.196546822241</v>
      </c>
      <c r="H41" s="34" t="n">
        <f aca="false">INT(365.25*IF($B$2&gt;2,$C$2+4716,$C$2-1+4716))+INT(30.6001*IF($B$2&gt;2,$B$2+1,$B$2+12+1))+$A$2+D41/24+2-INT(IF($B$2&gt;2,$C$2,$C$2-1)/100)+INT(INT(IF($B$2&gt;2,$C$2,$C$2-1)/100)/4)-1524.5</f>
        <v>2459915.3125</v>
      </c>
      <c r="I41" s="57" t="n">
        <f aca="false">(H41-2451545)/36525</f>
        <v>0.229166666666667</v>
      </c>
      <c r="J41" s="34" t="n">
        <f aca="false">MOD(357.5291 + 35999.0503*I41 - 0.0001559*I41^2 - 0.00000048*I41^3,360)</f>
        <v>327.311452223432</v>
      </c>
      <c r="K41" s="52" t="n">
        <f aca="false">MOD(280.46645 + 36000.76983*I41 + 0.0003032*I41^2,360)</f>
        <v>250.642885298263</v>
      </c>
      <c r="L41" s="85" t="n">
        <f aca="false"> MOD((1.9146 - 0.004817*I41 - 0.000014*I41^2)*SIN(J41*$A$7) + (0.019993 - 0.000101*I41)*SIN(2*J41*$A$7) + 0.00029*SIN(3*J41*$A$7),360)</f>
        <v>358.94813340073</v>
      </c>
      <c r="M41" s="85" t="n">
        <f aca="false">MOD(K41+L41,360)</f>
        <v>249.591018698993</v>
      </c>
      <c r="N41" s="85" t="n">
        <f aca="false">COS(M41*$A$7)</f>
        <v>-0.348718965058949</v>
      </c>
      <c r="O41" s="85" t="n">
        <f aca="false">COS((23.4393-46.815*I41/3600)*$A$7)*SIN(M41*PI()/180)</f>
        <v>-0.859908602673563</v>
      </c>
      <c r="P41" s="85" t="n">
        <f aca="false">SIN((23.4393-46.815*I41/3600)*$A$7)*SIN(M41*$A$7)</f>
        <v>-0.372763032577288</v>
      </c>
      <c r="Q41" s="85" t="n">
        <f aca="false">SQRT(1-P41^2)</f>
        <v>0.927926571202584</v>
      </c>
      <c r="R41" s="34" t="n">
        <f aca="false">ATAN(P41/Q41)/$A$7</f>
        <v>-21.8861219051016</v>
      </c>
      <c r="S41" s="52" t="n">
        <f aca="false">IF(2*ATAN(O41/(N41+Q41))/$A$7&gt;0, 2*ATAN(O41/(N41+Q41))/$A$7, 2*ATAN(O41/(N41+Q41))/$A$7+360)</f>
        <v>247.92595649661</v>
      </c>
      <c r="T41" s="34" t="n">
        <f aca="false">MOD(280.46061837+360.98564736629*(H41-2451545)+0.000387933*I41^2-I41^3/3871000010 + $B$5,360)</f>
        <v>18.1371093923226</v>
      </c>
      <c r="U41" s="34" t="n">
        <f aca="false">IF(T41-S41&gt;0,T41-S41,T41-S41+360)</f>
        <v>130.211152895712</v>
      </c>
      <c r="V41" s="86" t="n">
        <f aca="false">SIN($A$5*$A$7)*SIN(R41*$A$7) +COS($A$5*$A$7)*COS(R41*$A$7)*COS(U41*$A$7)</f>
        <v>-0.670631222472788</v>
      </c>
      <c r="W41" s="34" t="n">
        <f aca="false">SIN($A$7*U41)</f>
        <v>0.763670372759455</v>
      </c>
      <c r="X41" s="34" t="n">
        <f aca="false">COS($A$7*U41)*SIN($A$7*$A$5) - TAN($A$7*R41)*COS($A$7*$A$5)</f>
        <v>-0.236345034123052</v>
      </c>
      <c r="Y41" s="34" t="n">
        <f aca="false">IF(OR(AND(W41*X41&gt;0), AND(W41&lt;0,X41&gt;0)), MOD(ATAN2(X41,W41)/$A$7+360,360),  ATAN2(X41,W41)/$A$7)</f>
        <v>107.196546822241</v>
      </c>
    </row>
    <row r="42" customFormat="false" ht="15" hidden="false" customHeight="false" outlineLevel="0" collapsed="false">
      <c r="A42" s="1"/>
      <c r="B42" s="1"/>
      <c r="C42" s="1"/>
      <c r="D42" s="57" t="n">
        <v>20</v>
      </c>
      <c r="E42" s="34" t="n">
        <f aca="false">ASIN(V42)/$A$7</f>
        <v>-46.6193702785898</v>
      </c>
      <c r="F42" s="34" t="n">
        <f aca="false">E42+1.02/(TAN($A$7*(E42+10.3/(E42+5.11)))*60)</f>
        <v>-46.6352966901014</v>
      </c>
      <c r="G42" s="16" t="n">
        <f aca="false">IF(U42&gt;180,Y42-180,Y42+180)</f>
        <v>294.623844593722</v>
      </c>
      <c r="H42" s="34" t="n">
        <f aca="false">INT(365.25*IF($B$2&gt;2,$C$2+4716,$C$2-1+4716))+INT(30.6001*IF($B$2&gt;2,$B$2+1,$B$2+12+1))+$A$2+D42/24+2-INT(IF($B$2&gt;2,$C$2,$C$2-1)/100)+INT(INT(IF($B$2&gt;2,$C$2,$C$2-1)/100)/4)-1524.5</f>
        <v>2459915.33333333</v>
      </c>
      <c r="I42" s="57" t="n">
        <f aca="false">(H42-2451545)/36525</f>
        <v>0.229167237052162</v>
      </c>
      <c r="J42" s="34" t="n">
        <f aca="false">MOD(357.5291 + 35999.0503*I42 - 0.0001559*I42^2 - 0.00000048*I42^3,360)</f>
        <v>327.331985562754</v>
      </c>
      <c r="K42" s="52" t="n">
        <f aca="false">MOD(280.46645 + 36000.76983*I42 + 0.0003032*I42^2,360)</f>
        <v>250.663419618497</v>
      </c>
      <c r="L42" s="85" t="n">
        <f aca="false"> MOD((1.9146 - 0.004817*I42 - 0.000014*I42^2)*SIN(J42*$A$7) + (0.019993 - 0.000101*I42)*SIN(2*J42*$A$7) + 0.00029*SIN(3*J42*$A$7),360)</f>
        <v>358.948716531413</v>
      </c>
      <c r="M42" s="85" t="n">
        <f aca="false">MOD(K42+L42,360)</f>
        <v>249.61213614991</v>
      </c>
      <c r="N42" s="85" t="n">
        <f aca="false">COS(M42*$A$7)</f>
        <v>-0.348373508393315</v>
      </c>
      <c r="O42" s="85" t="n">
        <f aca="false">COS((23.4393-46.815*I42/3600)*$A$7)*SIN(M42*PI()/180)</f>
        <v>-0.860026468196496</v>
      </c>
      <c r="P42" s="85" t="n">
        <f aca="false">SIN((23.4393-46.815*I42/3600)*$A$7)*SIN(M42*$A$7)</f>
        <v>-0.372814126142229</v>
      </c>
      <c r="Q42" s="85" t="n">
        <f aca="false">SQRT(1-P42^2)</f>
        <v>0.927906044461834</v>
      </c>
      <c r="R42" s="34" t="n">
        <f aca="false">ATAN(P42/Q42)/$A$7</f>
        <v>-21.8892767646573</v>
      </c>
      <c r="S42" s="52" t="n">
        <f aca="false">IF(2*ATAN(O42/(N42+Q42))/$A$7&gt;0, 2*ATAN(O42/(N42+Q42))/$A$7, 2*ATAN(O42/(N42+Q42))/$A$7+360)</f>
        <v>247.948459021321</v>
      </c>
      <c r="T42" s="34" t="n">
        <f aca="false">MOD(280.46061837+360.98564736629*(H42-2451545)+0.000387933*I42^2-I42^3/3871000010 + $B$5,360)</f>
        <v>25.6576437684707</v>
      </c>
      <c r="U42" s="34" t="n">
        <f aca="false">IF(T42-S42&gt;0,T42-S42,T42-S42+360)</f>
        <v>137.70918474715</v>
      </c>
      <c r="V42" s="86" t="n">
        <f aca="false">SIN($A$5*$A$7)*SIN(R42*$A$7) +COS($A$5*$A$7)*COS(R42*$A$7)*COS(U42*$A$7)</f>
        <v>-0.726806916650021</v>
      </c>
      <c r="W42" s="34" t="n">
        <f aca="false">SIN($A$7*U42)</f>
        <v>0.672893938981667</v>
      </c>
      <c r="X42" s="34" t="n">
        <f aca="false">COS($A$7*U42)*SIN($A$7*$A$5) - TAN($A$7*R42)*COS($A$7*$A$5)</f>
        <v>-0.308413698475638</v>
      </c>
      <c r="Y42" s="34" t="n">
        <f aca="false">IF(OR(AND(W42*X42&gt;0), AND(W42&lt;0,X42&gt;0)), MOD(ATAN2(X42,W42)/$A$7+360,360),  ATAN2(X42,W42)/$A$7)</f>
        <v>114.623844593722</v>
      </c>
    </row>
    <row r="43" customFormat="false" ht="15" hidden="false" customHeight="false" outlineLevel="0" collapsed="false">
      <c r="A43" s="1"/>
      <c r="B43" s="1"/>
      <c r="C43" s="1"/>
      <c r="D43" s="57" t="n">
        <v>20.5</v>
      </c>
      <c r="E43" s="34" t="n">
        <f aca="false">ASIN(V43)/$A$7</f>
        <v>-50.8444793045304</v>
      </c>
      <c r="F43" s="34" t="n">
        <f aca="false">E43+1.02/(TAN($A$7*(E43+10.3/(E43+5.11)))*60)</f>
        <v>-50.858211428955</v>
      </c>
      <c r="G43" s="16" t="n">
        <f aca="false">IF(U43&gt;180,Y43-180,Y43+180)</f>
        <v>303.016450918523</v>
      </c>
      <c r="H43" s="34" t="n">
        <f aca="false">INT(365.25*IF($B$2&gt;2,$C$2+4716,$C$2-1+4716))+INT(30.6001*IF($B$2&gt;2,$B$2+1,$B$2+12+1))+$A$2+D43/24+2-INT(IF($B$2&gt;2,$C$2,$C$2-1)/100)+INT(INT(IF($B$2&gt;2,$C$2,$C$2-1)/100)/4)-1524.5</f>
        <v>2459915.35416667</v>
      </c>
      <c r="I43" s="57" t="n">
        <f aca="false">(H43-2451545)/36525</f>
        <v>0.229167807437913</v>
      </c>
      <c r="J43" s="34" t="n">
        <f aca="false">MOD(357.5291 + 35999.0503*I43 - 0.0001559*I43^2 - 0.00000048*I43^3,360)</f>
        <v>327.352518901615</v>
      </c>
      <c r="K43" s="52" t="n">
        <f aca="false">MOD(280.46645 + 36000.76983*I43 + 0.0003032*I43^2,360)</f>
        <v>250.683953938276</v>
      </c>
      <c r="L43" s="85" t="n">
        <f aca="false"> MOD((1.9146 - 0.004817*I43 - 0.000014*I43^2)*SIN(J43*$A$7) + (0.019993 - 0.000101*I43)*SIN(2*J43*$A$7) + 0.00029*SIN(3*J43*$A$7),360)</f>
        <v>358.949299804388</v>
      </c>
      <c r="M43" s="85" t="n">
        <f aca="false">MOD(K43+L43,360)</f>
        <v>249.633253742664</v>
      </c>
      <c r="N43" s="85" t="n">
        <f aca="false">COS(M43*$A$7)</f>
        <v>-0.348028002082774</v>
      </c>
      <c r="O43" s="85" t="n">
        <f aca="false">COS((23.4393-46.815*I43/3600)*$A$7)*SIN(M43*PI()/180)</f>
        <v>-0.860144217681218</v>
      </c>
      <c r="P43" s="85" t="n">
        <f aca="false">SIN((23.4393-46.815*I43/3600)*$A$7)*SIN(M43*$A$7)</f>
        <v>-0.372865169405561</v>
      </c>
      <c r="Q43" s="85" t="n">
        <f aca="false">SQRT(1-P43^2)</f>
        <v>0.927885534666945</v>
      </c>
      <c r="R43" s="34" t="n">
        <f aca="false">ATAN(P43/Q43)/$A$7</f>
        <v>-21.8924285879478</v>
      </c>
      <c r="S43" s="52" t="n">
        <f aca="false">IF(2*ATAN(O43/(N43+Q43))/$A$7&gt;0, 2*ATAN(O43/(N43+Q43))/$A$7, 2*ATAN(O43/(N43+Q43))/$A$7+360)</f>
        <v>247.970962692371</v>
      </c>
      <c r="T43" s="34" t="n">
        <f aca="false">MOD(280.46061837+360.98564736629*(H43-2451545)+0.000387933*I43^2-I43^3/3871000010 + $B$5,360)</f>
        <v>33.1781779769808</v>
      </c>
      <c r="U43" s="34" t="n">
        <f aca="false">IF(T43-S43&gt;0,T43-S43,T43-S43+360)</f>
        <v>145.207215284609</v>
      </c>
      <c r="V43" s="86" t="n">
        <f aca="false">SIN($A$5*$A$7)*SIN(R43*$A$7) +COS($A$5*$A$7)*COS(R43*$A$7)*COS(U43*$A$7)</f>
        <v>-0.775434906007587</v>
      </c>
      <c r="W43" s="34" t="n">
        <f aca="false">SIN($A$7*U43)</f>
        <v>0.570610155451149</v>
      </c>
      <c r="X43" s="34" t="n">
        <f aca="false">COS($A$7*U43)*SIN($A$7*$A$5) - TAN($A$7*R43)*COS($A$7*$A$5)</f>
        <v>-0.370791540500106</v>
      </c>
      <c r="Y43" s="34" t="n">
        <f aca="false">IF(OR(AND(W43*X43&gt;0), AND(W43&lt;0,X43&gt;0)), MOD(ATAN2(X43,W43)/$A$7+360,360),  ATAN2(X43,W43)/$A$7)</f>
        <v>123.016450918523</v>
      </c>
    </row>
    <row r="44" customFormat="false" ht="15" hidden="false" customHeight="false" outlineLevel="0" collapsed="false">
      <c r="A44" s="1"/>
      <c r="B44" s="1"/>
      <c r="C44" s="1"/>
      <c r="D44" s="57" t="n">
        <v>21</v>
      </c>
      <c r="E44" s="34" t="n">
        <f aca="false">ASIN(V44)/$A$7</f>
        <v>-54.6551116606632</v>
      </c>
      <c r="F44" s="34" t="n">
        <f aca="false">E44+1.02/(TAN($A$7*(E44+10.3/(E44+5.11)))*60)</f>
        <v>-54.6670758675913</v>
      </c>
      <c r="G44" s="16" t="n">
        <f aca="false">IF(U44&gt;180,Y44-180,Y44+180)</f>
        <v>312.649790028648</v>
      </c>
      <c r="H44" s="34" t="n">
        <f aca="false">INT(365.25*IF($B$2&gt;2,$C$2+4716,$C$2-1+4716))+INT(30.6001*IF($B$2&gt;2,$B$2+1,$B$2+12+1))+$A$2+D44/24+2-INT(IF($B$2&gt;2,$C$2,$C$2-1)/100)+INT(INT(IF($B$2&gt;2,$C$2,$C$2-1)/100)/4)-1524.5</f>
        <v>2459915.375</v>
      </c>
      <c r="I44" s="57" t="n">
        <f aca="false">(H44-2451545)/36525</f>
        <v>0.229168377823409</v>
      </c>
      <c r="J44" s="34" t="n">
        <f aca="false">MOD(357.5291 + 35999.0503*I44 - 0.0001559*I44^2 - 0.00000048*I44^3,360)</f>
        <v>327.373052240937</v>
      </c>
      <c r="K44" s="52" t="n">
        <f aca="false">MOD(280.46645 + 36000.76983*I44 + 0.0003032*I44^2,360)</f>
        <v>250.704488258512</v>
      </c>
      <c r="L44" s="85" t="n">
        <f aca="false"> MOD((1.9146 - 0.004817*I44 - 0.000014*I44^2)*SIN(J44*$A$7) + (0.019993 - 0.000101*I44)*SIN(2*J44*$A$7) + 0.00029*SIN(3*J44*$A$7),360)</f>
        <v>358.949883219602</v>
      </c>
      <c r="M44" s="85" t="n">
        <f aca="false">MOD(K44+L44,360)</f>
        <v>249.654371478115</v>
      </c>
      <c r="N44" s="85" t="n">
        <f aca="false">COS(M44*$A$7)</f>
        <v>-0.347682446159226</v>
      </c>
      <c r="O44" s="85" t="n">
        <f aca="false">COS((23.4393-46.815*I44/3600)*$A$7)*SIN(M44*PI()/180)</f>
        <v>-0.86026185111417</v>
      </c>
      <c r="P44" s="85" t="n">
        <f aca="false">SIN((23.4393-46.815*I44/3600)*$A$7)*SIN(M44*$A$7)</f>
        <v>-0.372916162361405</v>
      </c>
      <c r="Q44" s="85" t="n">
        <f aca="false">SQRT(1-P44^2)</f>
        <v>0.927865041829706</v>
      </c>
      <c r="R44" s="34" t="n">
        <f aca="false">ATAN(P44/Q44)/$A$7</f>
        <v>-21.8955773744184</v>
      </c>
      <c r="S44" s="52" t="n">
        <f aca="false">IF(2*ATAN(O44/(N44+Q44))/$A$7&gt;0, 2*ATAN(O44/(N44+Q44))/$A$7, 2*ATAN(O44/(N44+Q44))/$A$7+360)</f>
        <v>247.993467509936</v>
      </c>
      <c r="T44" s="34" t="n">
        <f aca="false">MOD(280.46061837+360.98564736629*(H44-2451545)+0.000387933*I44^2-I44^3/3871000010 + $B$5,360)</f>
        <v>40.6987123531289</v>
      </c>
      <c r="U44" s="34" t="n">
        <f aca="false">IF(T44-S44&gt;0,T44-S44,T44-S44+360)</f>
        <v>152.705244843193</v>
      </c>
      <c r="V44" s="86" t="n">
        <f aca="false">SIN($A$5*$A$7)*SIN(R44*$A$7) +COS($A$5*$A$7)*COS(R44*$A$7)*COS(U44*$A$7)</f>
        <v>-0.815684617495534</v>
      </c>
      <c r="W44" s="34" t="n">
        <f aca="false">SIN($A$7*U44)</f>
        <v>0.458568208734621</v>
      </c>
      <c r="X44" s="34" t="n">
        <f aca="false">COS($A$7*U44)*SIN($A$7*$A$5) - TAN($A$7*R44)*COS($A$7*$A$5)</f>
        <v>-0.422411122790297</v>
      </c>
      <c r="Y44" s="34" t="n">
        <f aca="false">IF(OR(AND(W44*X44&gt;0), AND(W44&lt;0,X44&gt;0)), MOD(ATAN2(X44,W44)/$A$7+360,360),  ATAN2(X44,W44)/$A$7)</f>
        <v>132.649790028648</v>
      </c>
    </row>
    <row r="45" customFormat="false" ht="15" hidden="false" customHeight="false" outlineLevel="0" collapsed="false">
      <c r="A45" s="1"/>
      <c r="B45" s="1"/>
      <c r="C45" s="1"/>
      <c r="D45" s="57" t="n">
        <v>21.5</v>
      </c>
      <c r="E45" s="34" t="n">
        <f aca="false">ASIN(V45)/$A$7</f>
        <v>-57.872717212606</v>
      </c>
      <c r="F45" s="34" t="n">
        <f aca="false">E45+1.02/(TAN($A$7*(E45+10.3/(E45+5.11)))*60)</f>
        <v>-57.8833119869024</v>
      </c>
      <c r="G45" s="16" t="n">
        <f aca="false">IF(U45&gt;180,Y45-180,Y45+180)</f>
        <v>323.778494871189</v>
      </c>
      <c r="H45" s="34" t="n">
        <f aca="false">INT(365.25*IF($B$2&gt;2,$C$2+4716,$C$2-1+4716))+INT(30.6001*IF($B$2&gt;2,$B$2+1,$B$2+12+1))+$A$2+D45/24+2-INT(IF($B$2&gt;2,$C$2,$C$2-1)/100)+INT(INT(IF($B$2&gt;2,$C$2,$C$2-1)/100)/4)-1524.5</f>
        <v>2459915.39583333</v>
      </c>
      <c r="I45" s="57" t="n">
        <f aca="false">(H45-2451545)/36525</f>
        <v>0.229168948208904</v>
      </c>
      <c r="J45" s="34" t="n">
        <f aca="false">MOD(357.5291 + 35999.0503*I45 - 0.0001559*I45^2 - 0.00000048*I45^3,360)</f>
        <v>327.393585580257</v>
      </c>
      <c r="K45" s="52" t="n">
        <f aca="false">MOD(280.46645 + 36000.76983*I45 + 0.0003032*I45^2,360)</f>
        <v>250.725022578747</v>
      </c>
      <c r="L45" s="85" t="n">
        <f aca="false"> MOD((1.9146 - 0.004817*I45 - 0.000014*I45^2)*SIN(J45*$A$7) + (0.019993 - 0.000101*I45)*SIN(2*J45*$A$7) + 0.00029*SIN(3*J45*$A$7),360)</f>
        <v>358.950466776967</v>
      </c>
      <c r="M45" s="85" t="n">
        <f aca="false">MOD(K45+L45,360)</f>
        <v>249.675489355714</v>
      </c>
      <c r="N45" s="85" t="n">
        <f aca="false">COS(M45*$A$7)</f>
        <v>-0.347336840677643</v>
      </c>
      <c r="O45" s="85" t="n">
        <f aca="false">COS((23.4393-46.815*I45/3600)*$A$7)*SIN(M45*PI()/180)</f>
        <v>-0.860379368473949</v>
      </c>
      <c r="P45" s="85" t="n">
        <f aca="false">SIN((23.4393-46.815*I45/3600)*$A$7)*SIN(M45*$A$7)</f>
        <v>-0.372967105000485</v>
      </c>
      <c r="Q45" s="85" t="n">
        <f aca="false">SQRT(1-P45^2)</f>
        <v>0.927844565963264</v>
      </c>
      <c r="R45" s="34" t="n">
        <f aca="false">ATAN(P45/Q45)/$A$7</f>
        <v>-21.8987231233045</v>
      </c>
      <c r="S45" s="52" t="n">
        <f aca="false">IF(2*ATAN(O45/(N45+Q45))/$A$7&gt;0, 2*ATAN(O45/(N45+Q45))/$A$7, 2*ATAN(O45/(N45+Q45))/$A$7+360)</f>
        <v>248.015973472686</v>
      </c>
      <c r="T45" s="34" t="n">
        <f aca="false">MOD(280.46061837+360.98564736629*(H45-2451545)+0.000387933*I45^2-I45^3/3871000010 + $B$5,360)</f>
        <v>48.2192467292771</v>
      </c>
      <c r="U45" s="34" t="n">
        <f aca="false">IF(T45-S45&gt;0,T45-S45,T45-S45+360)</f>
        <v>160.203273256591</v>
      </c>
      <c r="V45" s="86" t="n">
        <f aca="false">SIN($A$5*$A$7)*SIN(R45*$A$7) +COS($A$5*$A$7)*COS(R45*$A$7)*COS(U45*$A$7)</f>
        <v>-0.846868786916082</v>
      </c>
      <c r="W45" s="34" t="n">
        <f aca="false">SIN($A$7*U45)</f>
        <v>0.338684168016513</v>
      </c>
      <c r="X45" s="34" t="n">
        <f aca="false">COS($A$7*U45)*SIN($A$7*$A$5) - TAN($A$7*R45)*COS($A$7*$A$5)</f>
        <v>-0.462388985307398</v>
      </c>
      <c r="Y45" s="34" t="n">
        <f aca="false">IF(OR(AND(W45*X45&gt;0), AND(W45&lt;0,X45&gt;0)), MOD(ATAN2(X45,W45)/$A$7+360,360),  ATAN2(X45,W45)/$A$7)</f>
        <v>143.778494871189</v>
      </c>
    </row>
    <row r="46" customFormat="false" ht="15" hidden="false" customHeight="false" outlineLevel="0" collapsed="false">
      <c r="A46" s="1"/>
      <c r="B46" s="1"/>
      <c r="C46" s="1"/>
      <c r="D46" s="57" t="n">
        <v>22</v>
      </c>
      <c r="E46" s="34" t="n">
        <f aca="false">ASIN(V46)/$A$7</f>
        <v>-60.2796180991044</v>
      </c>
      <c r="F46" s="34" t="n">
        <f aca="false">E46+1.02/(TAN($A$7*(E46+10.3/(E46+5.11)))*60)</f>
        <v>-60.2892494344834</v>
      </c>
      <c r="G46" s="16" t="n">
        <f aca="false">IF(U46&gt;180,Y46-180,Y46+180)</f>
        <v>336.50664493648</v>
      </c>
      <c r="H46" s="34" t="n">
        <f aca="false">INT(365.25*IF($B$2&gt;2,$C$2+4716,$C$2-1+4716))+INT(30.6001*IF($B$2&gt;2,$B$2+1,$B$2+12+1))+$A$2+D46/24+2-INT(IF($B$2&gt;2,$C$2,$C$2-1)/100)+INT(INT(IF($B$2&gt;2,$C$2,$C$2-1)/100)/4)-1524.5</f>
        <v>2459915.41666667</v>
      </c>
      <c r="I46" s="57" t="n">
        <f aca="false">(H46-2451545)/36525</f>
        <v>0.229169518594655</v>
      </c>
      <c r="J46" s="34" t="n">
        <f aca="false">MOD(357.5291 + 35999.0503*I46 - 0.0001559*I46^2 - 0.00000048*I46^3,360)</f>
        <v>327.414118919118</v>
      </c>
      <c r="K46" s="52" t="n">
        <f aca="false">MOD(280.46645 + 36000.76983*I46 + 0.0003032*I46^2,360)</f>
        <v>250.745556898524</v>
      </c>
      <c r="L46" s="85" t="n">
        <f aca="false"> MOD((1.9146 - 0.004817*I46 - 0.000014*I46^2)*SIN(J46*$A$7) + (0.019993 - 0.000101*I46)*SIN(2*J46*$A$7) + 0.00029*SIN(3*J46*$A$7),360)</f>
        <v>358.951050476392</v>
      </c>
      <c r="M46" s="85" t="n">
        <f aca="false">MOD(K46+L46,360)</f>
        <v>249.696607374916</v>
      </c>
      <c r="N46" s="85" t="n">
        <f aca="false">COS(M46*$A$7)</f>
        <v>-0.346991185692937</v>
      </c>
      <c r="O46" s="85" t="n">
        <f aca="false">COS((23.4393-46.815*I46/3600)*$A$7)*SIN(M46*PI()/180)</f>
        <v>-0.860496769739202</v>
      </c>
      <c r="P46" s="85" t="n">
        <f aca="false">SIN((23.4393-46.815*I46/3600)*$A$7)*SIN(M46*$A$7)</f>
        <v>-0.373017997313544</v>
      </c>
      <c r="Q46" s="85" t="n">
        <f aca="false">SQRT(1-P46^2)</f>
        <v>0.927824107080751</v>
      </c>
      <c r="R46" s="34" t="n">
        <f aca="false">ATAN(P46/Q46)/$A$7</f>
        <v>-21.9018658338428</v>
      </c>
      <c r="S46" s="52" t="n">
        <f aca="false">IF(2*ATAN(O46/(N46+Q46))/$A$7&gt;0, 2*ATAN(O46/(N46+Q46))/$A$7, 2*ATAN(O46/(N46+Q46))/$A$7+360)</f>
        <v>248.038480579296</v>
      </c>
      <c r="T46" s="34" t="n">
        <f aca="false">MOD(280.46061837+360.98564736629*(H46-2451545)+0.000387933*I46^2-I46^3/3871000010 + $B$5,360)</f>
        <v>55.7397809377871</v>
      </c>
      <c r="U46" s="34" t="n">
        <f aca="false">IF(T46-S46&gt;0,T46-S46,T46-S46+360)</f>
        <v>167.701300358491</v>
      </c>
      <c r="V46" s="86" t="n">
        <f aca="false">SIN($A$5*$A$7)*SIN(R46*$A$7) +COS($A$5*$A$7)*COS(R46*$A$7)*COS(U46*$A$7)</f>
        <v>-0.868455209335996</v>
      </c>
      <c r="W46" s="34" t="n">
        <f aca="false">SIN($A$7*U46)</f>
        <v>0.213008211646009</v>
      </c>
      <c r="X46" s="34" t="n">
        <f aca="false">COS($A$7*U46)*SIN($A$7*$A$5) - TAN($A$7*R46)*COS($A$7*$A$5)</f>
        <v>-0.490040758797965</v>
      </c>
      <c r="Y46" s="34" t="n">
        <f aca="false">IF(OR(AND(W46*X46&gt;0), AND(W46&lt;0,X46&gt;0)), MOD(ATAN2(X46,W46)/$A$7+360,360),  ATAN2(X46,W46)/$A$7)</f>
        <v>156.50664493648</v>
      </c>
    </row>
    <row r="47" customFormat="false" ht="15" hidden="false" customHeight="false" outlineLevel="0" collapsed="false">
      <c r="A47" s="1"/>
      <c r="B47" s="1"/>
      <c r="C47" s="1"/>
      <c r="D47" s="57" t="n">
        <v>22.5</v>
      </c>
      <c r="E47" s="34" t="n">
        <f aca="false">ASIN(V47)/$A$7</f>
        <v>-61.6515125527022</v>
      </c>
      <c r="F47" s="34" t="n">
        <f aca="false">E47+1.02/(TAN($A$7*(E47+10.3/(E47+5.11)))*60)</f>
        <v>-61.6606150108179</v>
      </c>
      <c r="G47" s="16" t="n">
        <f aca="false">IF(U47&gt;180,Y47-180,Y47+180)</f>
        <v>350.588393367574</v>
      </c>
      <c r="H47" s="34" t="n">
        <f aca="false">INT(365.25*IF($B$2&gt;2,$C$2+4716,$C$2-1+4716))+INT(30.6001*IF($B$2&gt;2,$B$2+1,$B$2+12+1))+$A$2+D47/24+2-INT(IF($B$2&gt;2,$C$2,$C$2-1)/100)+INT(INT(IF($B$2&gt;2,$C$2,$C$2-1)/100)/4)-1524.5</f>
        <v>2459915.4375</v>
      </c>
      <c r="I47" s="57" t="n">
        <f aca="false">(H47-2451545)/36525</f>
        <v>0.229170088980151</v>
      </c>
      <c r="J47" s="34" t="n">
        <f aca="false">MOD(357.5291 + 35999.0503*I47 - 0.0001559*I47^2 - 0.00000048*I47^3,360)</f>
        <v>327.43465225844</v>
      </c>
      <c r="K47" s="52" t="n">
        <f aca="false">MOD(280.46645 + 36000.76983*I47 + 0.0003032*I47^2,360)</f>
        <v>250.766091218758</v>
      </c>
      <c r="L47" s="85" t="n">
        <f aca="false"> MOD((1.9146 - 0.004817*I47 - 0.000014*I47^2)*SIN(J47*$A$7) + (0.019993 - 0.000101*I47)*SIN(2*J47*$A$7) + 0.00029*SIN(3*J47*$A$7),360)</f>
        <v>358.951634317825</v>
      </c>
      <c r="M47" s="85" t="n">
        <f aca="false">MOD(K47+L47,360)</f>
        <v>249.717725536583</v>
      </c>
      <c r="N47" s="85" t="n">
        <f aca="false">COS(M47*$A$7)</f>
        <v>-0.346645481237007</v>
      </c>
      <c r="O47" s="85" t="n">
        <f aca="false">COS((23.4393-46.815*I47/3600)*$A$7)*SIN(M47*PI()/180)</f>
        <v>-0.860614054896416</v>
      </c>
      <c r="P47" s="85" t="n">
        <f aca="false">SIN((23.4393-46.815*I47/3600)*$A$7)*SIN(M47*$A$7)</f>
        <v>-0.373068839294724</v>
      </c>
      <c r="Q47" s="85" t="n">
        <f aca="false">SQRT(1-P47^2)</f>
        <v>0.927803665193929</v>
      </c>
      <c r="R47" s="34" t="n">
        <f aca="false">ATAN(P47/Q47)/$A$7</f>
        <v>-21.9050055054801</v>
      </c>
      <c r="S47" s="52" t="n">
        <f aca="false">IF(2*ATAN(O47/(N47+Q47))/$A$7&gt;0, 2*ATAN(O47/(N47+Q47))/$A$7, 2*ATAN(O47/(N47+Q47))/$A$7+360)</f>
        <v>248.06098882994</v>
      </c>
      <c r="T47" s="34" t="n">
        <f aca="false">MOD(280.46061837+360.98564736629*(H47-2451545)+0.000387933*I47^2-I47^3/3871000010 + $B$5,360)</f>
        <v>63.2603153139353</v>
      </c>
      <c r="U47" s="34" t="n">
        <f aca="false">IF(T47-S47&gt;0,T47-S47,T47-S47+360)</f>
        <v>175.199326483995</v>
      </c>
      <c r="V47" s="86" t="n">
        <f aca="false">SIN($A$5*$A$7)*SIN(R47*$A$7) +COS($A$5*$A$7)*COS(R47*$A$7)*COS(U47*$A$7)</f>
        <v>-0.880075833730064</v>
      </c>
      <c r="W47" s="34" t="n">
        <f aca="false">SIN($A$7*U47)</f>
        <v>0.0836895571716932</v>
      </c>
      <c r="X47" s="34" t="n">
        <f aca="false">COS($A$7*U47)*SIN($A$7*$A$5) - TAN($A$7*R47)*COS($A$7*$A$5)</f>
        <v>-0.504892868854183</v>
      </c>
      <c r="Y47" s="34" t="n">
        <f aca="false">IF(OR(AND(W47*X47&gt;0), AND(W47&lt;0,X47&gt;0)), MOD(ATAN2(X47,W47)/$A$7+360,360),  ATAN2(X47,W47)/$A$7)</f>
        <v>170.588393367574</v>
      </c>
    </row>
    <row r="48" customFormat="false" ht="15" hidden="false" customHeight="false" outlineLevel="0" collapsed="false">
      <c r="A48" s="1"/>
      <c r="B48" s="1"/>
      <c r="C48" s="1"/>
      <c r="D48" s="57" t="n">
        <v>23</v>
      </c>
      <c r="E48" s="34" t="n">
        <f aca="false">ASIN(V48)/$A$7</f>
        <v>-61.8278504811276</v>
      </c>
      <c r="F48" s="34" t="n">
        <f aca="false">E48+1.02/(TAN($A$7*(E48+10.3/(E48+5.11)))*60)</f>
        <v>-61.8368859447731</v>
      </c>
      <c r="G48" s="16" t="n">
        <f aca="false">IF(U48&gt;180,Y48-180,Y48+180)</f>
        <v>5.30627916242057</v>
      </c>
      <c r="H48" s="34" t="n">
        <f aca="false">INT(365.25*IF($B$2&gt;2,$C$2+4716,$C$2-1+4716))+INT(30.6001*IF($B$2&gt;2,$B$2+1,$B$2+12+1))+$A$2+D48/24+2-INT(IF($B$2&gt;2,$C$2,$C$2-1)/100)+INT(INT(IF($B$2&gt;2,$C$2,$C$2-1)/100)/4)-1524.5</f>
        <v>2459915.45833333</v>
      </c>
      <c r="I48" s="57" t="n">
        <f aca="false">(H48-2451545)/36525</f>
        <v>0.229170659365646</v>
      </c>
      <c r="J48" s="34" t="n">
        <f aca="false">MOD(357.5291 + 35999.0503*I48 - 0.0001559*I48^2 - 0.00000048*I48^3,360)</f>
        <v>327.455185597759</v>
      </c>
      <c r="K48" s="52" t="n">
        <f aca="false">MOD(280.46645 + 36000.76983*I48 + 0.0003032*I48^2,360)</f>
        <v>250.786625538996</v>
      </c>
      <c r="L48" s="85" t="n">
        <f aca="false"> MOD((1.9146 - 0.004817*I48 - 0.000014*I48^2)*SIN(J48*$A$7) + (0.019993 - 0.000101*I48)*SIN(2*J48*$A$7) + 0.00029*SIN(3*J48*$A$7),360)</f>
        <v>358.952218301176</v>
      </c>
      <c r="M48" s="85" t="n">
        <f aca="false">MOD(K48+L48,360)</f>
        <v>249.738843840172</v>
      </c>
      <c r="N48" s="85" t="n">
        <f aca="false">COS(M48*$A$7)</f>
        <v>-0.346299727364756</v>
      </c>
      <c r="O48" s="85" t="n">
        <f aca="false">COS((23.4393-46.815*I48/3600)*$A$7)*SIN(M48*PI()/180)</f>
        <v>-0.860731223924277</v>
      </c>
      <c r="P48" s="85" t="n">
        <f aca="false">SIN((23.4393-46.815*I48/3600)*$A$7)*SIN(M48*$A$7)</f>
        <v>-0.373119630934785</v>
      </c>
      <c r="Q48" s="85" t="n">
        <f aca="false">SQRT(1-P48^2)</f>
        <v>0.92778324031591</v>
      </c>
      <c r="R48" s="34" t="n">
        <f aca="false">ATAN(P48/Q48)/$A$7</f>
        <v>-21.9081421374543</v>
      </c>
      <c r="S48" s="52" t="n">
        <f aca="false">IF(2*ATAN(O48/(N48+Q48))/$A$7&gt;0, 2*ATAN(O48/(N48+Q48))/$A$7, 2*ATAN(O48/(N48+Q48))/$A$7+360)</f>
        <v>248.083498223293</v>
      </c>
      <c r="T48" s="34" t="n">
        <f aca="false">MOD(280.46061837+360.98564736629*(H48-2451545)+0.000387933*I48^2-I48^3/3871000010 + $B$5,360)</f>
        <v>70.7808496905491</v>
      </c>
      <c r="U48" s="34" t="n">
        <f aca="false">IF(T48-S48&gt;0,T48-S48,T48-S48+360)</f>
        <v>182.697351467256</v>
      </c>
      <c r="V48" s="86" t="n">
        <f aca="false">SIN($A$5*$A$7)*SIN(R48*$A$7) +COS($A$5*$A$7)*COS(R48*$A$7)*COS(U48*$A$7)</f>
        <v>-0.881533046641951</v>
      </c>
      <c r="W48" s="34" t="n">
        <f aca="false">SIN($A$7*U48)</f>
        <v>-0.0470602763588181</v>
      </c>
      <c r="X48" s="34" t="n">
        <f aca="false">COS($A$7*U48)*SIN($A$7*$A$5) - TAN($A$7*R48)*COS($A$7*$A$5)</f>
        <v>-0.50669063072468</v>
      </c>
      <c r="Y48" s="34" t="n">
        <f aca="false">IF(OR(AND(W48*X48&gt;0), AND(W48&lt;0,X48&gt;0)), MOD(ATAN2(X48,W48)/$A$7+360,360),  ATAN2(X48,W48)/$A$7)</f>
        <v>185.306279162421</v>
      </c>
    </row>
    <row r="49" customFormat="false" ht="15" hidden="false" customHeight="false" outlineLevel="0" collapsed="false">
      <c r="A49" s="1"/>
      <c r="B49" s="1"/>
      <c r="C49" s="1"/>
      <c r="D49" s="57" t="n">
        <v>23.5</v>
      </c>
      <c r="E49" s="34" t="n">
        <f aca="false">ASIN(V49)/$A$7</f>
        <v>-60.786023674882</v>
      </c>
      <c r="F49" s="34" t="n">
        <f aca="false">E49+1.02/(TAN($A$7*(E49+10.3/(E49+5.11)))*60)</f>
        <v>-60.7954581714461</v>
      </c>
      <c r="G49" s="16" t="n">
        <f aca="false">IF(U49&gt;180,Y49-180,Y49+180)</f>
        <v>19.6615979803823</v>
      </c>
      <c r="H49" s="34" t="n">
        <f aca="false">INT(365.25*IF($B$2&gt;2,$C$2+4716,$C$2-1+4716))+INT(30.6001*IF($B$2&gt;2,$B$2+1,$B$2+12+1))+$A$2+D49/24+2-INT(IF($B$2&gt;2,$C$2,$C$2-1)/100)+INT(INT(IF($B$2&gt;2,$C$2,$C$2-1)/100)/4)-1524.5</f>
        <v>2459915.47916667</v>
      </c>
      <c r="I49" s="57" t="n">
        <f aca="false">(H49-2451545)/36525</f>
        <v>0.229171229751397</v>
      </c>
      <c r="J49" s="34" t="n">
        <f aca="false">MOD(357.5291 + 35999.0503*I49 - 0.0001559*I49^2 - 0.00000048*I49^3,360)</f>
        <v>327.475718936621</v>
      </c>
      <c r="K49" s="52" t="n">
        <f aca="false">MOD(280.46645 + 36000.76983*I49 + 0.0003032*I49^2,360)</f>
        <v>250.807159858772</v>
      </c>
      <c r="L49" s="85" t="n">
        <f aca="false"> MOD((1.9146 - 0.004817*I49 - 0.000014*I49^2)*SIN(J49*$A$7) + (0.019993 - 0.000101*I49)*SIN(2*J49*$A$7) + 0.00029*SIN(3*J49*$A$7),360)</f>
        <v>358.952802426355</v>
      </c>
      <c r="M49" s="85" t="n">
        <f aca="false">MOD(K49+L49,360)</f>
        <v>249.759962285127</v>
      </c>
      <c r="N49" s="85" t="n">
        <f aca="false">COS(M49*$A$7)</f>
        <v>-0.345953924131315</v>
      </c>
      <c r="O49" s="85" t="n">
        <f aca="false">COS((23.4393-46.815*I49/3600)*$A$7)*SIN(M49*PI()/180)</f>
        <v>-0.860848276801431</v>
      </c>
      <c r="P49" s="85" t="n">
        <f aca="false">SIN((23.4393-46.815*I49/3600)*$A$7)*SIN(M49*$A$7)</f>
        <v>-0.373170372224471</v>
      </c>
      <c r="Q49" s="85" t="n">
        <f aca="false">SQRT(1-P49^2)</f>
        <v>0.92776283245981</v>
      </c>
      <c r="R49" s="34" t="n">
        <f aca="false">ATAN(P49/Q49)/$A$7</f>
        <v>-21.9112757290023</v>
      </c>
      <c r="S49" s="52" t="n">
        <f aca="false">IF(2*ATAN(O49/(N49+Q49))/$A$7&gt;0, 2*ATAN(O49/(N49+Q49))/$A$7, 2*ATAN(O49/(N49+Q49))/$A$7+360)</f>
        <v>248.106008758015</v>
      </c>
      <c r="T49" s="34" t="n">
        <f aca="false">MOD(280.46061837+360.98564736629*(H49-2451545)+0.000387933*I49^2-I49^3/3871000010 + $B$5,360)</f>
        <v>78.3013838985935</v>
      </c>
      <c r="U49" s="34" t="n">
        <f aca="false">IF(T49-S49&gt;0,T49-S49,T49-S49+360)</f>
        <v>190.195375140579</v>
      </c>
      <c r="V49" s="86" t="n">
        <f aca="false">SIN($A$5*$A$7)*SIN(R49*$A$7) +COS($A$5*$A$7)*COS(R49*$A$7)*COS(U49*$A$7)</f>
        <v>-0.872803046283258</v>
      </c>
      <c r="W49" s="34" t="n">
        <f aca="false">SIN($A$7*U49)</f>
        <v>-0.177005296433528</v>
      </c>
      <c r="X49" s="34" t="n">
        <f aca="false">COS($A$7*U49)*SIN($A$7*$A$5) - TAN($A$7*R49)*COS($A$7*$A$5)</f>
        <v>-0.495402607656386</v>
      </c>
      <c r="Y49" s="34" t="n">
        <f aca="false">IF(OR(AND(W49*X49&gt;0), AND(W49&lt;0,X49&gt;0)), MOD(ATAN2(X49,W49)/$A$7+360,360),  ATAN2(X49,W49)/$A$7)</f>
        <v>199.661597980382</v>
      </c>
    </row>
    <row r="50" customFormat="false" ht="15" hidden="false" customHeight="false" outlineLevel="0" collapsed="false">
      <c r="A50" s="1"/>
      <c r="B50" s="1"/>
      <c r="C50" s="1"/>
      <c r="D50" s="57" t="n">
        <v>24</v>
      </c>
      <c r="E50" s="34" t="n">
        <f aca="false">ASIN(V50)/$A$7</f>
        <v>-58.6534252907063</v>
      </c>
      <c r="F50" s="34" t="n">
        <f aca="false">E50+1.02/(TAN($A$7*(E50+10.3/(E50+5.11)))*60)</f>
        <v>-58.6637022953605</v>
      </c>
      <c r="G50" s="16" t="n">
        <f aca="false">IF(U50&gt;180,Y50-180,Y50+180)</f>
        <v>32.8207834338707</v>
      </c>
      <c r="H50" s="34" t="n">
        <f aca="false">INT(365.25*IF($B$2&gt;2,$C$2+4716,$C$2-1+4716))+INT(30.6001*IF($B$2&gt;2,$B$2+1,$B$2+12+1))+$A$2+D50/24+2-INT(IF($B$2&gt;2,$C$2,$C$2-1)/100)+INT(INT(IF($B$2&gt;2,$C$2,$C$2-1)/100)/4)-1524.5</f>
        <v>2459915.5</v>
      </c>
      <c r="I50" s="57" t="n">
        <f aca="false">(H50-2451545)/36525</f>
        <v>0.229171800136893</v>
      </c>
      <c r="J50" s="34" t="n">
        <f aca="false">MOD(357.5291 + 35999.0503*I50 - 0.0001559*I50^2 - 0.00000048*I50^3,360)</f>
        <v>327.49625227594</v>
      </c>
      <c r="K50" s="52" t="n">
        <f aca="false">MOD(280.46645 + 36000.76983*I50 + 0.0003032*I50^2,360)</f>
        <v>250.827694179006</v>
      </c>
      <c r="L50" s="85" t="n">
        <f aca="false"> MOD((1.9146 - 0.004817*I50 - 0.000014*I50^2)*SIN(J50*$A$7) + (0.019993 - 0.000101*I50)*SIN(2*J50*$A$7) + 0.00029*SIN(3*J50*$A$7),360)</f>
        <v>358.953386693311</v>
      </c>
      <c r="M50" s="85" t="n">
        <f aca="false">MOD(K50+L50,360)</f>
        <v>249.781080872318</v>
      </c>
      <c r="N50" s="85" t="n">
        <f aca="false">COS(M50*$A$7)</f>
        <v>-0.345608071568484</v>
      </c>
      <c r="O50" s="85" t="n">
        <f aca="false">COS((23.4393-46.815*I50/3600)*$A$7)*SIN(M50*PI()/180)</f>
        <v>-0.860965213514436</v>
      </c>
      <c r="P50" s="85" t="n">
        <f aca="false">SIN((23.4393-46.815*I50/3600)*$A$7)*SIN(M50*$A$7)</f>
        <v>-0.373221063157956</v>
      </c>
      <c r="Q50" s="85" t="n">
        <f aca="false">SQRT(1-P50^2)</f>
        <v>0.927742441637357</v>
      </c>
      <c r="R50" s="34" t="n">
        <f aca="false">ATAN(P50/Q50)/$A$7</f>
        <v>-21.9144062795732</v>
      </c>
      <c r="S50" s="52" t="n">
        <f aca="false">IF(2*ATAN(O50/(N50+Q50))/$A$7&gt;0, 2*ATAN(O50/(N50+Q50))/$A$7, 2*ATAN(O50/(N50+Q50))/$A$7+360)</f>
        <v>248.128520434285</v>
      </c>
      <c r="T50" s="34" t="n">
        <f aca="false">MOD(280.46061837+360.98564736629*(H50-2451545)+0.000387933*I50^2-I50^3/3871000010 + $B$5,360)</f>
        <v>85.8219182747416</v>
      </c>
      <c r="U50" s="34" t="n">
        <f aca="false">IF(T50-S50&gt;0,T50-S50,T50-S50+360)</f>
        <v>197.693397840457</v>
      </c>
      <c r="V50" s="86" t="n">
        <f aca="false">SIN($A$5*$A$7)*SIN(R50*$A$7) +COS($A$5*$A$7)*COS(R50*$A$7)*COS(U50*$A$7)</f>
        <v>-0.854036240128016</v>
      </c>
      <c r="W50" s="34" t="n">
        <f aca="false">SIN($A$7*U50)</f>
        <v>-0.303923284275661</v>
      </c>
      <c r="X50" s="34" t="n">
        <f aca="false">COS($A$7*U50)*SIN($A$7*$A$5) - TAN($A$7*R50)*COS($A$7*$A$5)</f>
        <v>-0.47122114621128</v>
      </c>
      <c r="Y50" s="34" t="n">
        <f aca="false">IF(OR(AND(W50*X50&gt;0), AND(W50&lt;0,X50&gt;0)), MOD(ATAN2(X50,W50)/$A$7+360,360),  ATAN2(X50,W50)/$A$7)</f>
        <v>212.820783433871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" activeCellId="0" sqref="N2"/>
    </sheetView>
  </sheetViews>
  <sheetFormatPr defaultColWidth="9.625" defaultRowHeight="12.8" zeroHeight="false" outlineLevelRow="0" outlineLevelCol="0"/>
  <cols>
    <col collapsed="false" customWidth="true" hidden="false" outlineLevel="0" max="1" min="1" style="0" width="12.55"/>
    <col collapsed="false" customWidth="true" hidden="false" outlineLevel="0" max="2" min="2" style="0" width="11.94"/>
    <col collapsed="false" customWidth="true" hidden="false" outlineLevel="0" max="5" min="5" style="0" width="7.55"/>
    <col collapsed="false" customWidth="true" hidden="false" outlineLevel="0" max="8" min="8" style="0" width="7.43"/>
    <col collapsed="false" customWidth="true" hidden="false" outlineLevel="0" max="10" min="10" style="0" width="5.6"/>
    <col collapsed="false" customWidth="true" hidden="false" outlineLevel="0" max="11" min="11" style="0" width="7.31"/>
    <col collapsed="false" customWidth="true" hidden="false" outlineLevel="0" max="12" min="12" style="0" width="6.82"/>
    <col collapsed="false" customWidth="true" hidden="false" outlineLevel="0" max="13" min="13" style="0" width="6.94"/>
    <col collapsed="false" customWidth="true" hidden="false" outlineLevel="0" max="14" min="14" style="0" width="9.13"/>
    <col collapsed="false" customWidth="true" hidden="false" outlineLevel="0" max="15" min="15" style="0" width="6.58"/>
    <col collapsed="false" customWidth="true" hidden="false" outlineLevel="0" max="16" min="16" style="0" width="4.38"/>
    <col collapsed="false" customWidth="true" hidden="false" outlineLevel="0" max="17" min="17" style="0" width="6.7"/>
    <col collapsed="false" customWidth="true" hidden="false" outlineLevel="0" max="18" min="18" style="0" width="6.58"/>
    <col collapsed="false" customWidth="true" hidden="false" outlineLevel="0" max="20" min="20" style="0" width="11.94"/>
    <col collapsed="false" customWidth="true" hidden="false" outlineLevel="0" max="21" min="21" style="0" width="14.86"/>
  </cols>
  <sheetData>
    <row r="1" customFormat="false" ht="15" hidden="false" customHeight="false" outlineLevel="0" collapsed="false">
      <c r="A1" s="15" t="s">
        <v>28</v>
      </c>
      <c r="B1" s="15" t="s">
        <v>106</v>
      </c>
      <c r="C1" s="15" t="s">
        <v>47</v>
      </c>
      <c r="D1" s="15" t="s">
        <v>36</v>
      </c>
      <c r="E1" s="15" t="s">
        <v>107</v>
      </c>
      <c r="F1" s="15" t="s">
        <v>67</v>
      </c>
      <c r="G1" s="15" t="s">
        <v>68</v>
      </c>
      <c r="H1" s="15" t="s">
        <v>69</v>
      </c>
      <c r="I1" s="15" t="s">
        <v>35</v>
      </c>
      <c r="J1" s="15" t="s">
        <v>108</v>
      </c>
      <c r="K1" s="15" t="s">
        <v>58</v>
      </c>
      <c r="L1" s="90" t="s">
        <v>109</v>
      </c>
      <c r="M1" s="15" t="s">
        <v>110</v>
      </c>
      <c r="N1" s="15" t="s">
        <v>20</v>
      </c>
      <c r="O1" s="15" t="s">
        <v>111</v>
      </c>
      <c r="P1" s="15"/>
      <c r="Q1" s="90" t="s">
        <v>112</v>
      </c>
      <c r="R1" s="90" t="s">
        <v>113</v>
      </c>
      <c r="S1" s="15" t="s">
        <v>114</v>
      </c>
      <c r="T1" s="10"/>
      <c r="U1" s="15"/>
    </row>
    <row r="2" customFormat="false" ht="15" hidden="false" customHeight="false" outlineLevel="0" collapsed="false">
      <c r="A2" s="91" t="n">
        <f aca="false">'elev  az  illum  rise  set'!$E$103</f>
        <v>2459915.01972222</v>
      </c>
      <c r="B2" s="52" t="n">
        <f aca="false">A2+0.5</f>
        <v>2459915.51972222</v>
      </c>
      <c r="C2" s="15" t="n">
        <f aca="false">INT(B2)</f>
        <v>2459915</v>
      </c>
      <c r="D2" s="15" t="n">
        <f aca="false">MOD(B2,1)</f>
        <v>0.519722222350538</v>
      </c>
      <c r="E2" s="15" t="n">
        <f aca="false">IF(C2&lt;2299161,C2,INT((C2-1867216.25)/36524.25))</f>
        <v>16</v>
      </c>
      <c r="F2" s="15" t="n">
        <f aca="false">C2+1+E2-INT((E2/4))</f>
        <v>2459928</v>
      </c>
      <c r="G2" s="15" t="n">
        <f aca="false">F2+1524</f>
        <v>2461452</v>
      </c>
      <c r="H2" s="15" t="n">
        <f aca="false">INT((G2-122.1)/365.25)</f>
        <v>6738</v>
      </c>
      <c r="I2" s="15" t="n">
        <f aca="false">INT(365.25*H2)</f>
        <v>2461054</v>
      </c>
      <c r="J2" s="15" t="n">
        <f aca="false">INT((G2-I2)/30.6001)</f>
        <v>13</v>
      </c>
      <c r="K2" s="34" t="n">
        <f aca="false">G2-I2-INT(30.6001*J2)+D2</f>
        <v>1.51972222235054</v>
      </c>
      <c r="L2" s="90" t="n">
        <f aca="false">INT(K2)</f>
        <v>1</v>
      </c>
      <c r="M2" s="15" t="n">
        <f aca="false">IF(J2&lt;14,J2-1,IF(OR(J2=14,J2=15),J2-13))</f>
        <v>12</v>
      </c>
      <c r="N2" s="52" t="n">
        <f aca="false">24*MOD(K2,1)</f>
        <v>12.4733333364129</v>
      </c>
      <c r="O2" s="15" t="n">
        <f aca="false">INT(N2)</f>
        <v>12</v>
      </c>
      <c r="P2" s="15" t="n">
        <f aca="false">MOD(N2,1)*60</f>
        <v>28.4000001847744</v>
      </c>
      <c r="Q2" s="90" t="n">
        <f aca="false">INT(MOD(N2,1)*60)</f>
        <v>28</v>
      </c>
      <c r="R2" s="16" t="n">
        <f aca="false">MOD(P2,1)*60</f>
        <v>24.0000110864639</v>
      </c>
      <c r="S2" s="6" t="n">
        <f aca="false">IF(M2&gt;2,H2-4716,IF(OR(M2=1,M2=2),H2-4715,"?"))</f>
        <v>2022</v>
      </c>
      <c r="T2" s="92" t="str">
        <f aca="false">S2&amp;"  "&amp;IF(M2&lt;10,"0"&amp;M2,M2)&amp;" - "&amp;IF(L2&lt;10,"0","")&amp;L2&amp;"    "&amp;IF(O2&lt;10,"0","")&amp;O2&amp;":"&amp;IF(Q2&lt;10,"0"&amp;INT(Q2),INT(Q2))&amp;":"&amp;IF(ROUND(R2,1)&lt;10,"0"&amp;ROUND(R2,1),ROUND(R2,1))</f>
        <v>2022  12 - 01    12:28:24</v>
      </c>
      <c r="U2" s="15" t="str">
        <f aca="false">S2&amp;"  "&amp;IF(M2&lt;10,"0"&amp;M2,M2)&amp;" - "&amp;IF(L2&lt;10,"0","")&amp;L2</f>
        <v>2022  12 - 01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&amp;C&amp;"Arial,Standard"&amp;10&amp;Kffffff&amp;A</oddHeader>
    <oddFooter>&amp;C&amp;"Arial,Standard"&amp;10&amp;KffffffSeite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664</TotalTime>
  <Application>LibreOffice/7.4.2.3$MacOSX_X86_64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2019-04-06T21:52:12Z</dcterms:created>
  <dc:creator/>
  <dc:description/>
  <dc:language>de-DE</dc:language>
  <cp:lastModifiedBy/>
  <dcterms:modified xsi:type="dcterms:W3CDTF">2022-10-25T19:53:49Z</dcterms:modified>
  <cp:revision>233</cp:revision>
  <dc:subject/>
  <dc:title/>
</cp:coreProperties>
</file>