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jurgengiesen 1/Desktop/www.jgiesen.de/sunpos/"/>
    </mc:Choice>
  </mc:AlternateContent>
  <xr:revisionPtr revIDLastSave="0" documentId="8_{EBFEA96B-FB58-2649-B79F-3D7192EE1E10}" xr6:coauthVersionLast="36" xr6:coauthVersionMax="36" xr10:uidLastSave="{00000000-0000-0000-0000-000000000000}"/>
  <bookViews>
    <workbookView xWindow="760" yWindow="460" windowWidth="32840" windowHeight="18440"/>
  </bookViews>
  <sheets>
    <sheet name="input" sheetId="1" r:id="rId1"/>
    <sheet name="calc" sheetId="2" r:id="rId2"/>
    <sheet name="elev  az" sheetId="3" r:id="rId3"/>
    <sheet name="E o T" sheetId="4" r:id="rId4"/>
    <sheet name="declin  dist" sheetId="5" r:id="rId5"/>
    <sheet name="orbit" sheetId="6" r:id="rId6"/>
  </sheets>
  <calcPr calcId="181029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D21" i="6" l="1"/>
  <c r="D17" i="6"/>
  <c r="D5" i="6"/>
  <c r="G1" i="6"/>
  <c r="F32" i="5"/>
  <c r="F32" i="6" s="1"/>
  <c r="F31" i="5"/>
  <c r="F31" i="6" s="1"/>
  <c r="F30" i="5"/>
  <c r="F30" i="6" s="1"/>
  <c r="F29" i="5"/>
  <c r="F29" i="6" s="1"/>
  <c r="F28" i="5"/>
  <c r="F28" i="6" s="1"/>
  <c r="F27" i="5"/>
  <c r="F27" i="6" s="1"/>
  <c r="D27" i="5"/>
  <c r="D27" i="6" s="1"/>
  <c r="F26" i="5"/>
  <c r="F26" i="6" s="1"/>
  <c r="F25" i="5"/>
  <c r="F25" i="6" s="1"/>
  <c r="F24" i="5"/>
  <c r="F24" i="6" s="1"/>
  <c r="F23" i="5"/>
  <c r="F23" i="6" s="1"/>
  <c r="F22" i="5"/>
  <c r="F22" i="6" s="1"/>
  <c r="F21" i="5"/>
  <c r="F21" i="6" s="1"/>
  <c r="F20" i="5"/>
  <c r="F20" i="6" s="1"/>
  <c r="F19" i="5"/>
  <c r="F19" i="6" s="1"/>
  <c r="F18" i="5"/>
  <c r="F18" i="6" s="1"/>
  <c r="F17" i="5"/>
  <c r="F17" i="6" s="1"/>
  <c r="F16" i="5"/>
  <c r="F16" i="6" s="1"/>
  <c r="F15" i="5"/>
  <c r="F15" i="6" s="1"/>
  <c r="D15" i="5"/>
  <c r="D15" i="6" s="1"/>
  <c r="F14" i="5"/>
  <c r="F14" i="6" s="1"/>
  <c r="F13" i="5"/>
  <c r="F13" i="6" s="1"/>
  <c r="F12" i="5"/>
  <c r="F12" i="6" s="1"/>
  <c r="F11" i="5"/>
  <c r="F11" i="6" s="1"/>
  <c r="F10" i="5"/>
  <c r="F10" i="6" s="1"/>
  <c r="F9" i="5"/>
  <c r="F9" i="6" s="1"/>
  <c r="F8" i="5"/>
  <c r="F8" i="6" s="1"/>
  <c r="F7" i="5"/>
  <c r="F7" i="6" s="1"/>
  <c r="F6" i="5"/>
  <c r="F6" i="6" s="1"/>
  <c r="F5" i="5"/>
  <c r="F5" i="6" s="1"/>
  <c r="F4" i="5"/>
  <c r="F4" i="6" s="1"/>
  <c r="F3" i="5"/>
  <c r="F3" i="6" s="1"/>
  <c r="F2" i="5"/>
  <c r="F2" i="6" s="1"/>
  <c r="H1" i="5"/>
  <c r="G1" i="5"/>
  <c r="F1" i="5"/>
  <c r="F1" i="6" s="1"/>
  <c r="A1" i="5"/>
  <c r="A1" i="6" s="1"/>
  <c r="D29" i="4"/>
  <c r="D29" i="5" s="1"/>
  <c r="D29" i="6" s="1"/>
  <c r="D28" i="4"/>
  <c r="D28" i="5" s="1"/>
  <c r="D28" i="6" s="1"/>
  <c r="D27" i="4"/>
  <c r="D26" i="4"/>
  <c r="D26" i="5" s="1"/>
  <c r="D26" i="6" s="1"/>
  <c r="D25" i="4"/>
  <c r="D25" i="5" s="1"/>
  <c r="D25" i="6" s="1"/>
  <c r="D24" i="4"/>
  <c r="D24" i="5" s="1"/>
  <c r="D24" i="6" s="1"/>
  <c r="D23" i="4"/>
  <c r="D23" i="5" s="1"/>
  <c r="D23" i="6" s="1"/>
  <c r="E22" i="4"/>
  <c r="D22" i="4"/>
  <c r="D22" i="5" s="1"/>
  <c r="D22" i="6" s="1"/>
  <c r="D21" i="4"/>
  <c r="D21" i="5" s="1"/>
  <c r="D20" i="4"/>
  <c r="D20" i="5" s="1"/>
  <c r="D20" i="6" s="1"/>
  <c r="D19" i="4"/>
  <c r="D19" i="5" s="1"/>
  <c r="D19" i="6" s="1"/>
  <c r="D18" i="4"/>
  <c r="D18" i="5" s="1"/>
  <c r="D18" i="6" s="1"/>
  <c r="D17" i="4"/>
  <c r="D17" i="5" s="1"/>
  <c r="D16" i="4"/>
  <c r="D16" i="5" s="1"/>
  <c r="D16" i="6" s="1"/>
  <c r="D15" i="4"/>
  <c r="D14" i="4"/>
  <c r="D14" i="5" s="1"/>
  <c r="D14" i="6" s="1"/>
  <c r="D13" i="4"/>
  <c r="D13" i="5" s="1"/>
  <c r="D13" i="6" s="1"/>
  <c r="D12" i="4"/>
  <c r="D12" i="5" s="1"/>
  <c r="D12" i="6" s="1"/>
  <c r="D11" i="4"/>
  <c r="D11" i="5" s="1"/>
  <c r="D11" i="6" s="1"/>
  <c r="D10" i="4"/>
  <c r="D10" i="5" s="1"/>
  <c r="D10" i="6" s="1"/>
  <c r="D9" i="4"/>
  <c r="D9" i="5" s="1"/>
  <c r="D9" i="6" s="1"/>
  <c r="D8" i="4"/>
  <c r="D8" i="5" s="1"/>
  <c r="D8" i="6" s="1"/>
  <c r="D7" i="4"/>
  <c r="D7" i="5" s="1"/>
  <c r="D7" i="6" s="1"/>
  <c r="E6" i="4"/>
  <c r="D6" i="4"/>
  <c r="D6" i="5" s="1"/>
  <c r="D6" i="6" s="1"/>
  <c r="D5" i="4"/>
  <c r="D5" i="5" s="1"/>
  <c r="D4" i="4"/>
  <c r="D4" i="5" s="1"/>
  <c r="D4" i="6" s="1"/>
  <c r="D3" i="4"/>
  <c r="D3" i="5" s="1"/>
  <c r="D3" i="6" s="1"/>
  <c r="D2" i="4"/>
  <c r="D2" i="5" s="1"/>
  <c r="D2" i="6" s="1"/>
  <c r="C2" i="4"/>
  <c r="C2" i="5" s="1"/>
  <c r="C2" i="6" s="1"/>
  <c r="B2" i="4"/>
  <c r="B2" i="5" s="1"/>
  <c r="B2" i="6" s="1"/>
  <c r="G1" i="4"/>
  <c r="E1" i="4"/>
  <c r="E1" i="5" s="1"/>
  <c r="E1" i="6" s="1"/>
  <c r="D1" i="4"/>
  <c r="D1" i="5" s="1"/>
  <c r="D1" i="6" s="1"/>
  <c r="C1" i="4"/>
  <c r="C1" i="5" s="1"/>
  <c r="C1" i="6" s="1"/>
  <c r="B1" i="4"/>
  <c r="B1" i="5" s="1"/>
  <c r="B1" i="6" s="1"/>
  <c r="A1" i="4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2" i="3"/>
  <c r="D2" i="3"/>
  <c r="C2" i="3"/>
  <c r="B2" i="3"/>
  <c r="I1" i="3"/>
  <c r="H1" i="3"/>
  <c r="G1" i="3"/>
  <c r="F1" i="3"/>
  <c r="E1" i="3"/>
  <c r="D1" i="3"/>
  <c r="C1" i="3"/>
  <c r="B1" i="3"/>
  <c r="A1" i="3"/>
  <c r="G4" i="2"/>
  <c r="G2" i="2"/>
  <c r="F2" i="2"/>
  <c r="E2" i="2"/>
  <c r="G29" i="3" s="1"/>
  <c r="B2" i="2"/>
  <c r="C2" i="2" s="1"/>
  <c r="M2" i="2" s="1"/>
  <c r="A2" i="2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1" i="6"/>
  <c r="K71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K7" i="6"/>
  <c r="L6" i="6"/>
  <c r="K6" i="6"/>
  <c r="L5" i="6"/>
  <c r="K5" i="6"/>
  <c r="L4" i="6"/>
  <c r="K4" i="6"/>
  <c r="L3" i="6"/>
  <c r="K3" i="6"/>
  <c r="L2" i="6"/>
  <c r="K2" i="6"/>
  <c r="G9" i="2"/>
  <c r="E3" i="1" s="1"/>
  <c r="G6" i="2"/>
  <c r="C2" i="1"/>
  <c r="E26" i="4" l="1"/>
  <c r="E14" i="4"/>
  <c r="E10" i="4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2" i="4"/>
  <c r="E18" i="4"/>
  <c r="H2" i="2"/>
  <c r="M3" i="2"/>
  <c r="N2" i="2"/>
  <c r="Y2" i="2"/>
  <c r="A2" i="3"/>
  <c r="A2" i="4"/>
  <c r="A2" i="5" s="1"/>
  <c r="A2" i="6" s="1"/>
  <c r="E29" i="5"/>
  <c r="E25" i="5"/>
  <c r="E21" i="5"/>
  <c r="E17" i="5"/>
  <c r="E13" i="5"/>
  <c r="E9" i="5"/>
  <c r="E5" i="5"/>
  <c r="E28" i="5"/>
  <c r="E24" i="5"/>
  <c r="E20" i="5"/>
  <c r="E16" i="5"/>
  <c r="E12" i="5"/>
  <c r="E8" i="5"/>
  <c r="E4" i="5"/>
  <c r="E27" i="5"/>
  <c r="E23" i="5"/>
  <c r="E19" i="5"/>
  <c r="E15" i="5"/>
  <c r="E11" i="5"/>
  <c r="E7" i="5"/>
  <c r="E3" i="5"/>
  <c r="E2" i="5"/>
  <c r="E18" i="5"/>
  <c r="E14" i="5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E28" i="4"/>
  <c r="E24" i="4"/>
  <c r="E20" i="4"/>
  <c r="E16" i="4"/>
  <c r="E12" i="4"/>
  <c r="E8" i="4"/>
  <c r="E4" i="4"/>
  <c r="E29" i="4"/>
  <c r="E25" i="4"/>
  <c r="E21" i="4"/>
  <c r="E17" i="4"/>
  <c r="E13" i="4"/>
  <c r="E9" i="4"/>
  <c r="E5" i="4"/>
  <c r="E3" i="4"/>
  <c r="E7" i="4"/>
  <c r="E11" i="4"/>
  <c r="E15" i="4"/>
  <c r="E19" i="4"/>
  <c r="E23" i="4"/>
  <c r="E27" i="4"/>
  <c r="E26" i="5" l="1"/>
  <c r="E6" i="5"/>
  <c r="E22" i="5"/>
  <c r="E10" i="5"/>
  <c r="AG2" i="2"/>
  <c r="H2" i="5" s="1"/>
  <c r="P2" i="2"/>
  <c r="O2" i="2"/>
  <c r="Q2" i="2" s="1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N3" i="2"/>
  <c r="Y3" i="2" s="1"/>
  <c r="M4" i="2"/>
  <c r="AB2" i="2"/>
  <c r="H3" i="2"/>
  <c r="H4" i="2" l="1"/>
  <c r="AB3" i="2"/>
  <c r="P3" i="2"/>
  <c r="O3" i="2"/>
  <c r="Q3" i="2" s="1"/>
  <c r="AG3" i="2"/>
  <c r="H3" i="5" s="1"/>
  <c r="R2" i="2"/>
  <c r="N4" i="2"/>
  <c r="Y4" i="2" s="1"/>
  <c r="M5" i="2"/>
  <c r="R3" i="2" l="1"/>
  <c r="G2" i="6"/>
  <c r="S2" i="2"/>
  <c r="T2" i="2"/>
  <c r="U2" i="2"/>
  <c r="N5" i="2"/>
  <c r="Y5" i="2" s="1"/>
  <c r="M6" i="2"/>
  <c r="AG4" i="2"/>
  <c r="H4" i="5" s="1"/>
  <c r="P4" i="2"/>
  <c r="O4" i="2"/>
  <c r="Q4" i="2" s="1"/>
  <c r="AB4" i="2"/>
  <c r="H5" i="2"/>
  <c r="V2" i="2" l="1"/>
  <c r="X2" i="2" s="1"/>
  <c r="H6" i="2"/>
  <c r="AB5" i="2"/>
  <c r="G3" i="6"/>
  <c r="S3" i="2"/>
  <c r="T3" i="2"/>
  <c r="U3" i="2"/>
  <c r="O5" i="2"/>
  <c r="Q5" i="2" s="1"/>
  <c r="AG5" i="2"/>
  <c r="H5" i="5" s="1"/>
  <c r="P5" i="2"/>
  <c r="H2" i="6"/>
  <c r="I2" i="6"/>
  <c r="R4" i="2"/>
  <c r="M7" i="2"/>
  <c r="N6" i="2"/>
  <c r="Z2" i="2" l="1"/>
  <c r="L2" i="2"/>
  <c r="G2" i="4" s="1"/>
  <c r="H3" i="6"/>
  <c r="I3" i="6"/>
  <c r="W2" i="2"/>
  <c r="G4" i="6"/>
  <c r="S4" i="2"/>
  <c r="T4" i="2"/>
  <c r="U4" i="2"/>
  <c r="H7" i="2"/>
  <c r="AB6" i="2"/>
  <c r="O6" i="2"/>
  <c r="Q6" i="2" s="1"/>
  <c r="AG6" i="2"/>
  <c r="H6" i="5" s="1"/>
  <c r="P6" i="2"/>
  <c r="R5" i="2"/>
  <c r="Y6" i="2"/>
  <c r="Y7" i="2"/>
  <c r="N7" i="2"/>
  <c r="M8" i="2"/>
  <c r="V3" i="2"/>
  <c r="X3" i="2" s="1"/>
  <c r="Z3" i="2" l="1"/>
  <c r="L3" i="2"/>
  <c r="G3" i="4" s="1"/>
  <c r="P7" i="2"/>
  <c r="AG7" i="2"/>
  <c r="H7" i="5" s="1"/>
  <c r="O7" i="2"/>
  <c r="Q7" i="2" s="1"/>
  <c r="G5" i="6"/>
  <c r="S5" i="2"/>
  <c r="U5" i="2"/>
  <c r="T5" i="2"/>
  <c r="H8" i="2"/>
  <c r="AB7" i="2"/>
  <c r="Y8" i="2"/>
  <c r="N8" i="2"/>
  <c r="M9" i="2"/>
  <c r="W3" i="2"/>
  <c r="R6" i="2"/>
  <c r="H4" i="6"/>
  <c r="I4" i="6"/>
  <c r="V4" i="2"/>
  <c r="X4" i="2" s="1"/>
  <c r="W4" i="2"/>
  <c r="G2" i="5"/>
  <c r="AA2" i="2"/>
  <c r="I2" i="2" s="1"/>
  <c r="J2" i="2" s="1"/>
  <c r="H2" i="3" s="1"/>
  <c r="AC2" i="2"/>
  <c r="AD2" i="2"/>
  <c r="Z4" i="2" l="1"/>
  <c r="L4" i="2"/>
  <c r="G4" i="4" s="1"/>
  <c r="G3" i="5"/>
  <c r="AA3" i="2"/>
  <c r="I3" i="2" s="1"/>
  <c r="J3" i="2" s="1"/>
  <c r="H3" i="3" s="1"/>
  <c r="V5" i="2"/>
  <c r="W5" i="2" s="1"/>
  <c r="G4" i="5"/>
  <c r="AA4" i="2"/>
  <c r="I4" i="2" s="1"/>
  <c r="J4" i="2" s="1"/>
  <c r="H4" i="3" s="1"/>
  <c r="N9" i="2"/>
  <c r="M10" i="2"/>
  <c r="AE2" i="2"/>
  <c r="K2" i="2" s="1"/>
  <c r="I2" i="3" s="1"/>
  <c r="G6" i="6"/>
  <c r="S6" i="2"/>
  <c r="U6" i="2"/>
  <c r="T6" i="2"/>
  <c r="O8" i="2"/>
  <c r="Q8" i="2" s="1"/>
  <c r="P8" i="2"/>
  <c r="AG8" i="2"/>
  <c r="H8" i="5" s="1"/>
  <c r="H9" i="2"/>
  <c r="AB8" i="2"/>
  <c r="H5" i="6"/>
  <c r="I5" i="6"/>
  <c r="R7" i="2"/>
  <c r="X5" i="2"/>
  <c r="AD3" i="2"/>
  <c r="AC3" i="2"/>
  <c r="AE3" i="2" s="1"/>
  <c r="K3" i="2" s="1"/>
  <c r="I3" i="3" s="1"/>
  <c r="R8" i="2" l="1"/>
  <c r="G7" i="6"/>
  <c r="S7" i="2"/>
  <c r="T7" i="2"/>
  <c r="U7" i="2"/>
  <c r="H10" i="2"/>
  <c r="AB9" i="2"/>
  <c r="V6" i="2"/>
  <c r="W6" i="2" s="1"/>
  <c r="M11" i="2"/>
  <c r="N10" i="2"/>
  <c r="Y10" i="2" s="1"/>
  <c r="AG9" i="2"/>
  <c r="H9" i="5" s="1"/>
  <c r="P9" i="2"/>
  <c r="O9" i="2"/>
  <c r="Q9" i="2"/>
  <c r="G5" i="5"/>
  <c r="Z5" i="2"/>
  <c r="AA5" i="2" s="1"/>
  <c r="I5" i="2" s="1"/>
  <c r="J5" i="2" s="1"/>
  <c r="H5" i="3" s="1"/>
  <c r="L5" i="2"/>
  <c r="G5" i="4" s="1"/>
  <c r="H6" i="6"/>
  <c r="I6" i="6"/>
  <c r="Y9" i="2"/>
  <c r="AD4" i="2"/>
  <c r="AC4" i="2"/>
  <c r="G6" i="5" l="1"/>
  <c r="V7" i="2"/>
  <c r="X7" i="2" s="1"/>
  <c r="X6" i="2"/>
  <c r="AE4" i="2"/>
  <c r="K4" i="2" s="1"/>
  <c r="I4" i="3" s="1"/>
  <c r="AG10" i="2"/>
  <c r="H10" i="5" s="1"/>
  <c r="P10" i="2"/>
  <c r="O10" i="2"/>
  <c r="Q10" i="2" s="1"/>
  <c r="N11" i="2"/>
  <c r="Y11" i="2" s="1"/>
  <c r="M12" i="2"/>
  <c r="AB10" i="2"/>
  <c r="H11" i="2"/>
  <c r="H7" i="6"/>
  <c r="I7" i="6"/>
  <c r="AD5" i="2"/>
  <c r="AC5" i="2"/>
  <c r="AE5" i="2" s="1"/>
  <c r="K5" i="2" s="1"/>
  <c r="I5" i="3" s="1"/>
  <c r="R9" i="2"/>
  <c r="G8" i="6"/>
  <c r="S8" i="2"/>
  <c r="U8" i="2"/>
  <c r="T8" i="2"/>
  <c r="Z7" i="2" l="1"/>
  <c r="L7" i="2"/>
  <c r="G7" i="4" s="1"/>
  <c r="W7" i="2"/>
  <c r="H12" i="2"/>
  <c r="AB11" i="2"/>
  <c r="AG11" i="2"/>
  <c r="H11" i="5" s="1"/>
  <c r="O11" i="2"/>
  <c r="Q11" i="2" s="1"/>
  <c r="P11" i="2"/>
  <c r="H8" i="6"/>
  <c r="I8" i="6"/>
  <c r="M13" i="2"/>
  <c r="N12" i="2"/>
  <c r="Y12" i="2" s="1"/>
  <c r="V8" i="2"/>
  <c r="X8" i="2" s="1"/>
  <c r="G9" i="6"/>
  <c r="S9" i="2"/>
  <c r="U9" i="2"/>
  <c r="T9" i="2"/>
  <c r="R10" i="2"/>
  <c r="L6" i="2"/>
  <c r="G6" i="4" s="1"/>
  <c r="Z6" i="2"/>
  <c r="Z8" i="2" l="1"/>
  <c r="L8" i="2"/>
  <c r="G8" i="4" s="1"/>
  <c r="AB12" i="2"/>
  <c r="H13" i="2"/>
  <c r="V9" i="2"/>
  <c r="W9" i="2" s="1"/>
  <c r="W8" i="2"/>
  <c r="G7" i="5"/>
  <c r="AA7" i="2"/>
  <c r="I7" i="2" s="1"/>
  <c r="J7" i="2" s="1"/>
  <c r="H7" i="3" s="1"/>
  <c r="G10" i="6"/>
  <c r="S10" i="2"/>
  <c r="T10" i="2"/>
  <c r="U10" i="2"/>
  <c r="R11" i="2"/>
  <c r="AC6" i="2"/>
  <c r="AD6" i="2"/>
  <c r="AA6" i="2"/>
  <c r="I6" i="2" s="1"/>
  <c r="J6" i="2" s="1"/>
  <c r="H6" i="3" s="1"/>
  <c r="N13" i="2"/>
  <c r="M14" i="2"/>
  <c r="Y13" i="2"/>
  <c r="H9" i="6"/>
  <c r="I9" i="6"/>
  <c r="AG12" i="2"/>
  <c r="H12" i="5" s="1"/>
  <c r="P12" i="2"/>
  <c r="O12" i="2"/>
  <c r="Q12" i="2" s="1"/>
  <c r="AD7" i="2"/>
  <c r="AC7" i="2"/>
  <c r="AE7" i="2" s="1"/>
  <c r="K7" i="2" s="1"/>
  <c r="I7" i="3" s="1"/>
  <c r="G9" i="5" l="1"/>
  <c r="G11" i="6"/>
  <c r="S11" i="2"/>
  <c r="T11" i="2"/>
  <c r="U11" i="2"/>
  <c r="H10" i="6"/>
  <c r="I10" i="6"/>
  <c r="X9" i="2"/>
  <c r="N14" i="2"/>
  <c r="M15" i="2"/>
  <c r="AG13" i="2"/>
  <c r="H13" i="5" s="1"/>
  <c r="P13" i="2"/>
  <c r="O13" i="2"/>
  <c r="Q13" i="2" s="1"/>
  <c r="H14" i="2"/>
  <c r="AB13" i="2"/>
  <c r="AD8" i="2"/>
  <c r="AC8" i="2"/>
  <c r="AE6" i="2"/>
  <c r="K6" i="2" s="1"/>
  <c r="I6" i="3" s="1"/>
  <c r="V10" i="2"/>
  <c r="W10" i="2" s="1"/>
  <c r="R12" i="2"/>
  <c r="G8" i="5"/>
  <c r="AA8" i="2"/>
  <c r="I8" i="2" s="1"/>
  <c r="J8" i="2" s="1"/>
  <c r="H8" i="3" s="1"/>
  <c r="X10" i="2" l="1"/>
  <c r="L10" i="2" s="1"/>
  <c r="G10" i="4" s="1"/>
  <c r="G10" i="5"/>
  <c r="Z10" i="2"/>
  <c r="AG14" i="2"/>
  <c r="H14" i="5" s="1"/>
  <c r="P14" i="2"/>
  <c r="O14" i="2"/>
  <c r="Q14" i="2" s="1"/>
  <c r="Y14" i="2"/>
  <c r="V11" i="2"/>
  <c r="X11" i="2" s="1"/>
  <c r="W11" i="2"/>
  <c r="R13" i="2"/>
  <c r="H11" i="6"/>
  <c r="I11" i="6"/>
  <c r="G12" i="6"/>
  <c r="S12" i="2"/>
  <c r="U12" i="2"/>
  <c r="T12" i="2"/>
  <c r="Z9" i="2"/>
  <c r="L9" i="2"/>
  <c r="G9" i="4" s="1"/>
  <c r="AE8" i="2"/>
  <c r="K8" i="2" s="1"/>
  <c r="I8" i="3" s="1"/>
  <c r="AB14" i="2"/>
  <c r="H15" i="2"/>
  <c r="N15" i="2"/>
  <c r="Y15" i="2"/>
  <c r="M16" i="2"/>
  <c r="O15" i="2" l="1"/>
  <c r="P15" i="2"/>
  <c r="AG15" i="2"/>
  <c r="H15" i="5" s="1"/>
  <c r="Q15" i="2"/>
  <c r="Z11" i="2"/>
  <c r="L11" i="2"/>
  <c r="G11" i="4" s="1"/>
  <c r="V12" i="2"/>
  <c r="W12" i="2" s="1"/>
  <c r="H16" i="2"/>
  <c r="AB15" i="2"/>
  <c r="R14" i="2"/>
  <c r="AD10" i="2"/>
  <c r="AC10" i="2"/>
  <c r="G11" i="5"/>
  <c r="M17" i="2"/>
  <c r="N16" i="2"/>
  <c r="AD9" i="2"/>
  <c r="AC9" i="2"/>
  <c r="AA9" i="2"/>
  <c r="I9" i="2" s="1"/>
  <c r="J9" i="2" s="1"/>
  <c r="H9" i="3" s="1"/>
  <c r="H12" i="6"/>
  <c r="I12" i="6"/>
  <c r="G13" i="6"/>
  <c r="S13" i="2"/>
  <c r="T13" i="2"/>
  <c r="U13" i="2"/>
  <c r="AA10" i="2"/>
  <c r="I10" i="2" s="1"/>
  <c r="J10" i="2" s="1"/>
  <c r="H10" i="3" s="1"/>
  <c r="X12" i="2"/>
  <c r="AE10" i="2" l="1"/>
  <c r="K10" i="2" s="1"/>
  <c r="I10" i="3" s="1"/>
  <c r="AE9" i="2"/>
  <c r="K9" i="2" s="1"/>
  <c r="I9" i="3" s="1"/>
  <c r="G12" i="5"/>
  <c r="R15" i="2"/>
  <c r="Z12" i="2"/>
  <c r="AA12" i="2" s="1"/>
  <c r="I12" i="2" s="1"/>
  <c r="J12" i="2" s="1"/>
  <c r="H12" i="3" s="1"/>
  <c r="L12" i="2"/>
  <c r="G12" i="4" s="1"/>
  <c r="G14" i="6"/>
  <c r="S14" i="2"/>
  <c r="T14" i="2"/>
  <c r="U14" i="2"/>
  <c r="AB16" i="2"/>
  <c r="H17" i="2"/>
  <c r="AC11" i="2"/>
  <c r="AD11" i="2"/>
  <c r="AG16" i="2"/>
  <c r="H16" i="5" s="1"/>
  <c r="P16" i="2"/>
  <c r="O16" i="2"/>
  <c r="Q16" i="2" s="1"/>
  <c r="H13" i="6"/>
  <c r="I13" i="6"/>
  <c r="Y16" i="2"/>
  <c r="V13" i="2"/>
  <c r="W13" i="2"/>
  <c r="N17" i="2"/>
  <c r="Y17" i="2" s="1"/>
  <c r="M18" i="2"/>
  <c r="X13" i="2"/>
  <c r="AA11" i="2"/>
  <c r="I11" i="2" s="1"/>
  <c r="J11" i="2" s="1"/>
  <c r="H11" i="3" s="1"/>
  <c r="H18" i="2" l="1"/>
  <c r="AB17" i="2"/>
  <c r="AG17" i="2"/>
  <c r="H17" i="5" s="1"/>
  <c r="P17" i="2"/>
  <c r="O17" i="2"/>
  <c r="Q17" i="2"/>
  <c r="H14" i="6"/>
  <c r="I14" i="6"/>
  <c r="G15" i="6"/>
  <c r="S15" i="2"/>
  <c r="U15" i="2"/>
  <c r="T15" i="2"/>
  <c r="Z13" i="2"/>
  <c r="L13" i="2"/>
  <c r="G13" i="4" s="1"/>
  <c r="G13" i="5"/>
  <c r="AA13" i="2"/>
  <c r="I13" i="2" s="1"/>
  <c r="J13" i="2" s="1"/>
  <c r="H13" i="3" s="1"/>
  <c r="R16" i="2"/>
  <c r="AE11" i="2"/>
  <c r="K11" i="2" s="1"/>
  <c r="I11" i="3" s="1"/>
  <c r="V14" i="2"/>
  <c r="W14" i="2" s="1"/>
  <c r="N18" i="2"/>
  <c r="M19" i="2"/>
  <c r="Y18" i="2"/>
  <c r="X14" i="2"/>
  <c r="AD12" i="2"/>
  <c r="AC12" i="2"/>
  <c r="AE12" i="2" s="1"/>
  <c r="K12" i="2" s="1"/>
  <c r="I12" i="3" s="1"/>
  <c r="G14" i="5" l="1"/>
  <c r="N19" i="2"/>
  <c r="M20" i="2"/>
  <c r="H15" i="6"/>
  <c r="I15" i="6"/>
  <c r="AG18" i="2"/>
  <c r="H18" i="5" s="1"/>
  <c r="P18" i="2"/>
  <c r="O18" i="2"/>
  <c r="Q18" i="2" s="1"/>
  <c r="G16" i="6"/>
  <c r="S16" i="2"/>
  <c r="T16" i="2"/>
  <c r="U16" i="2"/>
  <c r="Z14" i="2"/>
  <c r="L14" i="2"/>
  <c r="G14" i="4" s="1"/>
  <c r="AC13" i="2"/>
  <c r="AD13" i="2"/>
  <c r="V15" i="2"/>
  <c r="W15" i="2" s="1"/>
  <c r="R17" i="2"/>
  <c r="AB18" i="2"/>
  <c r="H19" i="2"/>
  <c r="G15" i="5" l="1"/>
  <c r="AC14" i="2"/>
  <c r="AD14" i="2"/>
  <c r="AG19" i="2"/>
  <c r="H19" i="5" s="1"/>
  <c r="P19" i="2"/>
  <c r="O19" i="2"/>
  <c r="Q19" i="2" s="1"/>
  <c r="G17" i="6"/>
  <c r="S17" i="2"/>
  <c r="T17" i="2"/>
  <c r="U17" i="2"/>
  <c r="AE13" i="2"/>
  <c r="K13" i="2" s="1"/>
  <c r="I13" i="3" s="1"/>
  <c r="X15" i="2"/>
  <c r="H16" i="6"/>
  <c r="I16" i="6"/>
  <c r="R18" i="2"/>
  <c r="AA14" i="2"/>
  <c r="I14" i="2" s="1"/>
  <c r="J14" i="2" s="1"/>
  <c r="H14" i="3" s="1"/>
  <c r="H20" i="2"/>
  <c r="AB19" i="2"/>
  <c r="V16" i="2"/>
  <c r="W16" i="2" s="1"/>
  <c r="Y19" i="2"/>
  <c r="M21" i="2"/>
  <c r="N20" i="2"/>
  <c r="Y20" i="2"/>
  <c r="X16" i="2" l="1"/>
  <c r="AE14" i="2"/>
  <c r="K14" i="2" s="1"/>
  <c r="I14" i="3" s="1"/>
  <c r="G16" i="5"/>
  <c r="AA16" i="2"/>
  <c r="I16" i="2" s="1"/>
  <c r="J16" i="2" s="1"/>
  <c r="H16" i="3" s="1"/>
  <c r="L16" i="2"/>
  <c r="G16" i="4" s="1"/>
  <c r="Z16" i="2"/>
  <c r="R19" i="2"/>
  <c r="AG20" i="2"/>
  <c r="H20" i="5" s="1"/>
  <c r="P20" i="2"/>
  <c r="O20" i="2"/>
  <c r="Q20" i="2" s="1"/>
  <c r="G18" i="6"/>
  <c r="S18" i="2"/>
  <c r="T18" i="2"/>
  <c r="U18" i="2"/>
  <c r="Z15" i="2"/>
  <c r="L15" i="2"/>
  <c r="G15" i="4" s="1"/>
  <c r="AB20" i="2"/>
  <c r="H21" i="2"/>
  <c r="V17" i="2"/>
  <c r="X17" i="2" s="1"/>
  <c r="N21" i="2"/>
  <c r="Y21" i="2" s="1"/>
  <c r="M22" i="2"/>
  <c r="H17" i="6"/>
  <c r="I17" i="6"/>
  <c r="Z17" i="2" l="1"/>
  <c r="L17" i="2"/>
  <c r="G17" i="4" s="1"/>
  <c r="AC15" i="2"/>
  <c r="AD15" i="2"/>
  <c r="AA15" i="2"/>
  <c r="I15" i="2" s="1"/>
  <c r="J15" i="2" s="1"/>
  <c r="H15" i="3" s="1"/>
  <c r="H18" i="6"/>
  <c r="I18" i="6"/>
  <c r="R20" i="2"/>
  <c r="M23" i="2"/>
  <c r="N22" i="2"/>
  <c r="H22" i="2"/>
  <c r="AB21" i="2"/>
  <c r="V18" i="2"/>
  <c r="X18" i="2" s="1"/>
  <c r="W18" i="2"/>
  <c r="Q21" i="2"/>
  <c r="AG21" i="2"/>
  <c r="H21" i="5" s="1"/>
  <c r="O21" i="2"/>
  <c r="P21" i="2"/>
  <c r="G19" i="6"/>
  <c r="S19" i="2"/>
  <c r="U19" i="2"/>
  <c r="T19" i="2"/>
  <c r="W17" i="2"/>
  <c r="AD16" i="2"/>
  <c r="AC16" i="2"/>
  <c r="AE15" i="2" l="1"/>
  <c r="K15" i="2" s="1"/>
  <c r="I15" i="3" s="1"/>
  <c r="AE16" i="2"/>
  <c r="K16" i="2" s="1"/>
  <c r="I16" i="3" s="1"/>
  <c r="R21" i="2"/>
  <c r="AB22" i="2"/>
  <c r="H23" i="2"/>
  <c r="G18" i="5"/>
  <c r="AG22" i="2"/>
  <c r="H22" i="5" s="1"/>
  <c r="P22" i="2"/>
  <c r="O22" i="2"/>
  <c r="Q22" i="2"/>
  <c r="V19" i="2"/>
  <c r="X19" i="2" s="1"/>
  <c r="W19" i="2"/>
  <c r="Z18" i="2"/>
  <c r="L18" i="2"/>
  <c r="G18" i="4" s="1"/>
  <c r="G20" i="6"/>
  <c r="S20" i="2"/>
  <c r="U20" i="2"/>
  <c r="T20" i="2"/>
  <c r="G17" i="5"/>
  <c r="AA17" i="2"/>
  <c r="I17" i="2" s="1"/>
  <c r="J17" i="2" s="1"/>
  <c r="H17" i="3" s="1"/>
  <c r="H19" i="6"/>
  <c r="I19" i="6"/>
  <c r="Y22" i="2"/>
  <c r="AC17" i="2"/>
  <c r="AE17" i="2" s="1"/>
  <c r="K17" i="2" s="1"/>
  <c r="I17" i="3" s="1"/>
  <c r="AD17" i="2"/>
  <c r="N23" i="2"/>
  <c r="Y23" i="2"/>
  <c r="M24" i="2"/>
  <c r="Z19" i="2" l="1"/>
  <c r="L19" i="2"/>
  <c r="G19" i="4" s="1"/>
  <c r="M25" i="2"/>
  <c r="N24" i="2"/>
  <c r="V20" i="2"/>
  <c r="X20" i="2" s="1"/>
  <c r="AD18" i="2"/>
  <c r="AC18" i="2"/>
  <c r="H24" i="2"/>
  <c r="AB23" i="2"/>
  <c r="O23" i="2"/>
  <c r="Q23" i="2" s="1"/>
  <c r="AG23" i="2"/>
  <c r="H23" i="5" s="1"/>
  <c r="P23" i="2"/>
  <c r="H20" i="6"/>
  <c r="I20" i="6"/>
  <c r="AA18" i="2"/>
  <c r="I18" i="2" s="1"/>
  <c r="J18" i="2" s="1"/>
  <c r="H18" i="3" s="1"/>
  <c r="G19" i="5"/>
  <c r="AA19" i="2"/>
  <c r="I19" i="2" s="1"/>
  <c r="J19" i="2" s="1"/>
  <c r="H19" i="3" s="1"/>
  <c r="R22" i="2"/>
  <c r="G21" i="6"/>
  <c r="S21" i="2"/>
  <c r="U21" i="2"/>
  <c r="T21" i="2"/>
  <c r="Z20" i="2" l="1"/>
  <c r="L20" i="2"/>
  <c r="G20" i="4" s="1"/>
  <c r="AB24" i="2"/>
  <c r="H25" i="2"/>
  <c r="N25" i="2"/>
  <c r="Y25" i="2"/>
  <c r="M26" i="2"/>
  <c r="R23" i="2"/>
  <c r="AE18" i="2"/>
  <c r="K18" i="2" s="1"/>
  <c r="I18" i="3" s="1"/>
  <c r="W20" i="2"/>
  <c r="AG24" i="2"/>
  <c r="H24" i="5" s="1"/>
  <c r="P24" i="2"/>
  <c r="O24" i="2"/>
  <c r="Q24" i="2" s="1"/>
  <c r="G22" i="6"/>
  <c r="S22" i="2"/>
  <c r="T22" i="2"/>
  <c r="U22" i="2"/>
  <c r="V21" i="2"/>
  <c r="X21" i="2" s="1"/>
  <c r="W21" i="2"/>
  <c r="H21" i="6"/>
  <c r="I21" i="6"/>
  <c r="Y24" i="2"/>
  <c r="AC19" i="2"/>
  <c r="AD19" i="2"/>
  <c r="AE19" i="2" l="1"/>
  <c r="K19" i="2" s="1"/>
  <c r="I19" i="3" s="1"/>
  <c r="Z21" i="2"/>
  <c r="L21" i="2"/>
  <c r="G21" i="4" s="1"/>
  <c r="G21" i="5"/>
  <c r="AA21" i="2"/>
  <c r="I21" i="2" s="1"/>
  <c r="J21" i="2" s="1"/>
  <c r="H21" i="3" s="1"/>
  <c r="G20" i="5"/>
  <c r="AA20" i="2"/>
  <c r="I20" i="2" s="1"/>
  <c r="J20" i="2" s="1"/>
  <c r="H20" i="3" s="1"/>
  <c r="H26" i="2"/>
  <c r="AB25" i="2"/>
  <c r="M27" i="2"/>
  <c r="N26" i="2"/>
  <c r="H22" i="6"/>
  <c r="I22" i="6"/>
  <c r="R24" i="2"/>
  <c r="V22" i="2"/>
  <c r="W22" i="2" s="1"/>
  <c r="G23" i="6"/>
  <c r="S23" i="2"/>
  <c r="T23" i="2"/>
  <c r="U23" i="2"/>
  <c r="AG25" i="2"/>
  <c r="H25" i="5" s="1"/>
  <c r="P25" i="2"/>
  <c r="O25" i="2"/>
  <c r="Q25" i="2" s="1"/>
  <c r="AD20" i="2"/>
  <c r="AC20" i="2"/>
  <c r="G22" i="5" l="1"/>
  <c r="AB26" i="2"/>
  <c r="H27" i="2"/>
  <c r="X22" i="2"/>
  <c r="V23" i="2"/>
  <c r="W23" i="2"/>
  <c r="AG26" i="2"/>
  <c r="H26" i="5" s="1"/>
  <c r="P26" i="2"/>
  <c r="O26" i="2"/>
  <c r="Q26" i="2"/>
  <c r="Y26" i="2"/>
  <c r="N27" i="2"/>
  <c r="Y27" i="2" s="1"/>
  <c r="M28" i="2"/>
  <c r="R25" i="2"/>
  <c r="X23" i="2"/>
  <c r="AE20" i="2"/>
  <c r="K20" i="2" s="1"/>
  <c r="I20" i="3" s="1"/>
  <c r="H23" i="6"/>
  <c r="I23" i="6"/>
  <c r="G24" i="6"/>
  <c r="S24" i="2"/>
  <c r="T24" i="2"/>
  <c r="U24" i="2"/>
  <c r="AC21" i="2"/>
  <c r="AD21" i="2"/>
  <c r="H28" i="2" l="1"/>
  <c r="AB27" i="2"/>
  <c r="Z23" i="2"/>
  <c r="AA23" i="2" s="1"/>
  <c r="I23" i="2" s="1"/>
  <c r="J23" i="2" s="1"/>
  <c r="H23" i="3" s="1"/>
  <c r="L23" i="2"/>
  <c r="G23" i="4" s="1"/>
  <c r="G23" i="5"/>
  <c r="H24" i="6"/>
  <c r="I24" i="6"/>
  <c r="V24" i="2"/>
  <c r="W24" i="2" s="1"/>
  <c r="X24" i="2"/>
  <c r="G25" i="6"/>
  <c r="S25" i="2"/>
  <c r="U25" i="2"/>
  <c r="T25" i="2"/>
  <c r="R26" i="2"/>
  <c r="AG27" i="2"/>
  <c r="H27" i="5" s="1"/>
  <c r="P27" i="2"/>
  <c r="O27" i="2"/>
  <c r="Q27" i="2" s="1"/>
  <c r="AE21" i="2"/>
  <c r="K21" i="2" s="1"/>
  <c r="I21" i="3" s="1"/>
  <c r="M29" i="2"/>
  <c r="N28" i="2"/>
  <c r="L22" i="2"/>
  <c r="G22" i="4" s="1"/>
  <c r="Z22" i="2"/>
  <c r="AG28" i="2" l="1"/>
  <c r="H28" i="5" s="1"/>
  <c r="P28" i="2"/>
  <c r="O28" i="2"/>
  <c r="Q28" i="2" s="1"/>
  <c r="R27" i="2"/>
  <c r="Z24" i="2"/>
  <c r="L24" i="2"/>
  <c r="G24" i="4" s="1"/>
  <c r="AD22" i="2"/>
  <c r="AC22" i="2"/>
  <c r="AA22" i="2"/>
  <c r="I22" i="2" s="1"/>
  <c r="J22" i="2" s="1"/>
  <c r="H22" i="3" s="1"/>
  <c r="N29" i="2"/>
  <c r="Y29" i="2"/>
  <c r="M30" i="2"/>
  <c r="G26" i="6"/>
  <c r="S26" i="2"/>
  <c r="T26" i="2"/>
  <c r="U26" i="2"/>
  <c r="V25" i="2"/>
  <c r="X25" i="2" s="1"/>
  <c r="AD23" i="2"/>
  <c r="AC23" i="2"/>
  <c r="AE23" i="2" s="1"/>
  <c r="K23" i="2" s="1"/>
  <c r="I23" i="3" s="1"/>
  <c r="G24" i="5"/>
  <c r="AA24" i="2"/>
  <c r="I24" i="2" s="1"/>
  <c r="J24" i="2" s="1"/>
  <c r="H24" i="3" s="1"/>
  <c r="Y28" i="2"/>
  <c r="H25" i="6"/>
  <c r="I25" i="6"/>
  <c r="AB28" i="2"/>
  <c r="H29" i="2"/>
  <c r="W25" i="2" l="1"/>
  <c r="Z25" i="2"/>
  <c r="AA25" i="2" s="1"/>
  <c r="I25" i="2" s="1"/>
  <c r="J25" i="2" s="1"/>
  <c r="H25" i="3" s="1"/>
  <c r="L25" i="2"/>
  <c r="G25" i="4" s="1"/>
  <c r="G25" i="5"/>
  <c r="AG29" i="2"/>
  <c r="H29" i="5" s="1"/>
  <c r="P29" i="2"/>
  <c r="O29" i="2"/>
  <c r="Q29" i="2" s="1"/>
  <c r="G27" i="6"/>
  <c r="S27" i="2"/>
  <c r="T27" i="2"/>
  <c r="U27" i="2"/>
  <c r="H26" i="6"/>
  <c r="I26" i="6"/>
  <c r="R28" i="2"/>
  <c r="AB29" i="2"/>
  <c r="H30" i="2"/>
  <c r="V26" i="2"/>
  <c r="X26" i="2" s="1"/>
  <c r="N30" i="2"/>
  <c r="Y30" i="2"/>
  <c r="M31" i="2"/>
  <c r="AE22" i="2"/>
  <c r="K22" i="2" s="1"/>
  <c r="I22" i="3" s="1"/>
  <c r="AD24" i="2"/>
  <c r="AC24" i="2"/>
  <c r="AE24" i="2" s="1"/>
  <c r="K24" i="2" s="1"/>
  <c r="I24" i="3" s="1"/>
  <c r="W26" i="2" l="1"/>
  <c r="G26" i="5"/>
  <c r="M32" i="2"/>
  <c r="N31" i="2"/>
  <c r="Z26" i="2"/>
  <c r="L26" i="2"/>
  <c r="G26" i="4" s="1"/>
  <c r="H27" i="6"/>
  <c r="I27" i="6"/>
  <c r="O30" i="2"/>
  <c r="Q30" i="2"/>
  <c r="AG30" i="2"/>
  <c r="H30" i="5" s="1"/>
  <c r="P30" i="2"/>
  <c r="H31" i="2"/>
  <c r="E30" i="2"/>
  <c r="D30" i="2" s="1"/>
  <c r="AB30" i="2"/>
  <c r="V27" i="2"/>
  <c r="X27" i="2" s="1"/>
  <c r="G28" i="6"/>
  <c r="S28" i="2"/>
  <c r="T28" i="2"/>
  <c r="U28" i="2"/>
  <c r="R29" i="2"/>
  <c r="AD25" i="2"/>
  <c r="AC25" i="2"/>
  <c r="AE25" i="2" l="1"/>
  <c r="K25" i="2" s="1"/>
  <c r="I25" i="3" s="1"/>
  <c r="W27" i="2"/>
  <c r="Z27" i="2"/>
  <c r="L27" i="2"/>
  <c r="G27" i="4" s="1"/>
  <c r="F30" i="3"/>
  <c r="D30" i="4"/>
  <c r="D30" i="5" s="1"/>
  <c r="D30" i="6" s="1"/>
  <c r="AB31" i="2"/>
  <c r="H32" i="2"/>
  <c r="E31" i="2"/>
  <c r="D31" i="2" s="1"/>
  <c r="AG31" i="2"/>
  <c r="H31" i="5" s="1"/>
  <c r="P31" i="2"/>
  <c r="O31" i="2"/>
  <c r="Q31" i="2" s="1"/>
  <c r="V28" i="2"/>
  <c r="W28" i="2" s="1"/>
  <c r="G27" i="5"/>
  <c r="AA27" i="2"/>
  <c r="I27" i="2" s="1"/>
  <c r="J27" i="2" s="1"/>
  <c r="H27" i="3" s="1"/>
  <c r="G29" i="6"/>
  <c r="S29" i="2"/>
  <c r="U29" i="2"/>
  <c r="T29" i="2"/>
  <c r="H28" i="6"/>
  <c r="I28" i="6"/>
  <c r="R30" i="2"/>
  <c r="N32" i="2"/>
  <c r="AD26" i="2"/>
  <c r="AC26" i="2"/>
  <c r="AA26" i="2"/>
  <c r="I26" i="2" s="1"/>
  <c r="J26" i="2" s="1"/>
  <c r="H26" i="3" s="1"/>
  <c r="G30" i="3"/>
  <c r="E30" i="4"/>
  <c r="E30" i="5" s="1"/>
  <c r="E30" i="6" s="1"/>
  <c r="Y31" i="2"/>
  <c r="X28" i="2" l="1"/>
  <c r="G28" i="5"/>
  <c r="D31" i="4"/>
  <c r="D31" i="5" s="1"/>
  <c r="D31" i="6" s="1"/>
  <c r="F31" i="3"/>
  <c r="AG32" i="2"/>
  <c r="H32" i="5" s="1"/>
  <c r="P32" i="2"/>
  <c r="O32" i="2"/>
  <c r="Q32" i="2" s="1"/>
  <c r="AE26" i="2"/>
  <c r="K26" i="2" s="1"/>
  <c r="I26" i="3" s="1"/>
  <c r="Y32" i="2"/>
  <c r="H29" i="6"/>
  <c r="I29" i="6"/>
  <c r="E31" i="4"/>
  <c r="E31" i="5" s="1"/>
  <c r="E31" i="6" s="1"/>
  <c r="G31" i="3"/>
  <c r="L28" i="2"/>
  <c r="G28" i="4" s="1"/>
  <c r="Z28" i="2"/>
  <c r="AA28" i="2" s="1"/>
  <c r="I28" i="2" s="1"/>
  <c r="J28" i="2" s="1"/>
  <c r="H28" i="3" s="1"/>
  <c r="X29" i="2"/>
  <c r="R31" i="2"/>
  <c r="G30" i="6"/>
  <c r="S30" i="2"/>
  <c r="T30" i="2"/>
  <c r="U30" i="2"/>
  <c r="V29" i="2"/>
  <c r="W29" i="2"/>
  <c r="AB32" i="2"/>
  <c r="E32" i="2"/>
  <c r="AD27" i="2"/>
  <c r="AC27" i="2"/>
  <c r="AE27" i="2" s="1"/>
  <c r="K27" i="2" s="1"/>
  <c r="I27" i="3" s="1"/>
  <c r="G29" i="5" l="1"/>
  <c r="R32" i="2"/>
  <c r="E32" i="4"/>
  <c r="E32" i="5" s="1"/>
  <c r="E32" i="6" s="1"/>
  <c r="G32" i="3"/>
  <c r="V30" i="2"/>
  <c r="X30" i="2" s="1"/>
  <c r="G31" i="6"/>
  <c r="S31" i="2"/>
  <c r="T31" i="2"/>
  <c r="U31" i="2"/>
  <c r="Z29" i="2"/>
  <c r="AA29" i="2" s="1"/>
  <c r="I29" i="2" s="1"/>
  <c r="J29" i="2" s="1"/>
  <c r="H29" i="3" s="1"/>
  <c r="L29" i="2"/>
  <c r="G29" i="4" s="1"/>
  <c r="D32" i="2"/>
  <c r="H30" i="6"/>
  <c r="I30" i="6"/>
  <c r="AD28" i="2"/>
  <c r="AC28" i="2"/>
  <c r="AE28" i="2" l="1"/>
  <c r="K28" i="2" s="1"/>
  <c r="I28" i="3" s="1"/>
  <c r="Z30" i="2"/>
  <c r="L30" i="2"/>
  <c r="G30" i="4" s="1"/>
  <c r="W30" i="2"/>
  <c r="G32" i="6"/>
  <c r="S32" i="2"/>
  <c r="U32" i="2"/>
  <c r="T32" i="2"/>
  <c r="V31" i="2"/>
  <c r="W31" i="2" s="1"/>
  <c r="F32" i="3"/>
  <c r="D32" i="4"/>
  <c r="D32" i="5" s="1"/>
  <c r="D32" i="6" s="1"/>
  <c r="AD29" i="2"/>
  <c r="AC29" i="2"/>
  <c r="H31" i="6"/>
  <c r="I31" i="6"/>
  <c r="G31" i="5" l="1"/>
  <c r="G30" i="5"/>
  <c r="AA30" i="2"/>
  <c r="I30" i="2" s="1"/>
  <c r="J30" i="2" s="1"/>
  <c r="H30" i="3" s="1"/>
  <c r="V32" i="2"/>
  <c r="W32" i="2" s="1"/>
  <c r="X31" i="2"/>
  <c r="AE29" i="2"/>
  <c r="K29" i="2" s="1"/>
  <c r="I29" i="3" s="1"/>
  <c r="H32" i="6"/>
  <c r="I32" i="6"/>
  <c r="AD30" i="2"/>
  <c r="AC30" i="2"/>
  <c r="AE30" i="2" s="1"/>
  <c r="K30" i="2" s="1"/>
  <c r="I30" i="3" s="1"/>
  <c r="G32" i="5" l="1"/>
  <c r="L31" i="2"/>
  <c r="G31" i="4" s="1"/>
  <c r="Z31" i="2"/>
  <c r="X32" i="2"/>
  <c r="AD31" i="2" l="1"/>
  <c r="AC31" i="2"/>
  <c r="AA31" i="2"/>
  <c r="I31" i="2" s="1"/>
  <c r="J31" i="2" s="1"/>
  <c r="H31" i="3" s="1"/>
  <c r="Z32" i="2"/>
  <c r="L32" i="2"/>
  <c r="G32" i="4" s="1"/>
  <c r="AE31" i="2" l="1"/>
  <c r="K31" i="2" s="1"/>
  <c r="I31" i="3" s="1"/>
  <c r="AC32" i="2"/>
  <c r="AD32" i="2"/>
  <c r="AA32" i="2"/>
  <c r="I32" i="2" s="1"/>
  <c r="J32" i="2" s="1"/>
  <c r="H32" i="3" s="1"/>
  <c r="AE32" i="2" l="1"/>
  <c r="K32" i="2" s="1"/>
  <c r="I32" i="3" s="1"/>
</calcChain>
</file>

<file path=xl/sharedStrings.xml><?xml version="1.0" encoding="utf-8"?>
<sst xmlns="http://purl.oclc.org/ooxml/spreadsheetml/main" count="91" uniqueCount="68">
  <si>
    <t>h UT</t>
  </si>
  <si>
    <t>min UT</t>
  </si>
  <si>
    <t>UT</t>
  </si>
  <si>
    <t>Month</t>
  </si>
  <si>
    <t>Year</t>
  </si>
  <si>
    <t>Lat.:</t>
  </si>
  <si>
    <t>Long.:</t>
  </si>
  <si>
    <t>J. Giesen</t>
  </si>
  <si>
    <t>GeoAstro,de/</t>
  </si>
  <si>
    <t>sunpos</t>
  </si>
  <si>
    <t>Date</t>
  </si>
  <si>
    <t>DoY</t>
  </si>
  <si>
    <t>elev</t>
  </si>
  <si>
    <t>elevRefr</t>
  </si>
  <si>
    <t>az</t>
  </si>
  <si>
    <t>EoT</t>
  </si>
  <si>
    <t>JD</t>
  </si>
  <si>
    <t>T</t>
  </si>
  <si>
    <t>M</t>
  </si>
  <si>
    <t>L0</t>
  </si>
  <si>
    <t>DL</t>
  </si>
  <si>
    <t>L</t>
  </si>
  <si>
    <t>X</t>
  </si>
  <si>
    <t>Y</t>
  </si>
  <si>
    <t>Z</t>
  </si>
  <si>
    <t>R</t>
  </si>
  <si>
    <t>delta</t>
  </si>
  <si>
    <t>RA</t>
  </si>
  <si>
    <t>theta</t>
  </si>
  <si>
    <t>tau</t>
  </si>
  <si>
    <t>sin h</t>
  </si>
  <si>
    <t>month</t>
  </si>
  <si>
    <t>X-Axis</t>
  </si>
  <si>
    <t>R / AU</t>
  </si>
  <si>
    <t>(=PI/180)</t>
  </si>
  <si>
    <t>Don‘t edit</t>
  </si>
  <si>
    <t>any cell !</t>
  </si>
  <si>
    <t>Don‘t edit !</t>
  </si>
  <si>
    <t>Day</t>
  </si>
  <si>
    <t>h:min</t>
  </si>
  <si>
    <t>2:47</t>
  </si>
  <si>
    <t>2:54</t>
  </si>
  <si>
    <t>3:1</t>
  </si>
  <si>
    <t>3:8</t>
  </si>
  <si>
    <t>3:13</t>
  </si>
  <si>
    <t>3:19</t>
  </si>
  <si>
    <t>3:23</t>
  </si>
  <si>
    <t>3:27</t>
  </si>
  <si>
    <t>3:31</t>
  </si>
  <si>
    <t>3:34</t>
  </si>
  <si>
    <t>3:36</t>
  </si>
  <si>
    <t>3:38</t>
  </si>
  <si>
    <t>3:39</t>
  </si>
  <si>
    <t>3:40</t>
  </si>
  <si>
    <t>3:37</t>
  </si>
  <si>
    <t>3:35</t>
  </si>
  <si>
    <t>3:32</t>
  </si>
  <si>
    <t>3:29</t>
  </si>
  <si>
    <t>3:25</t>
  </si>
  <si>
    <t>3:21</t>
  </si>
  <si>
    <t>3:16</t>
  </si>
  <si>
    <t>3:11</t>
  </si>
  <si>
    <t>3:5</t>
  </si>
  <si>
    <t>2:59</t>
  </si>
  <si>
    <t>2:52</t>
  </si>
  <si>
    <t>2:45</t>
  </si>
  <si>
    <t>2:37</t>
  </si>
  <si>
    <t>2:29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</si>
</sst>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000000"/>
    <numFmt numFmtId="166" formatCode="0.00000"/>
    <numFmt numFmtId="167" formatCode="0.000000"/>
    <numFmt numFmtId="168" formatCode="#,##0.000000"/>
    <numFmt numFmtId="169" formatCode="yyyy\-mm\-dd"/>
    <numFmt numFmtId="170" formatCode="0.0000"/>
  </numFmts>
  <fonts count="21">
    <font>
      <sz val="12"/>
      <color rgb="FF000000"/>
      <name val="Liberation Sans1"/>
    </font>
    <font>
      <sz val="12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12"/>
      <color rgb="FFFF0000"/>
      <name val="Liberation Sans1"/>
    </font>
    <font>
      <b/>
      <sz val="12"/>
      <color rgb="FF000000"/>
      <name val="Liberation Sans1"/>
    </font>
    <font>
      <sz val="12"/>
      <color rgb="FFFF0000"/>
      <name val="Liberation Sans1"/>
    </font>
    <font>
      <sz val="10"/>
      <color rgb="FF000000"/>
      <name val="Liberation Sans1"/>
    </font>
    <font>
      <sz val="11"/>
      <color rgb="FF000000"/>
      <name val="Liberation Sans1"/>
    </font>
    <font>
      <b/>
      <sz val="12"/>
      <color rgb="FF0000FF"/>
      <name val="Liberation Sans1"/>
    </font>
    <font>
      <sz val="12"/>
      <color rgb="FF0000FF"/>
      <name val="Liberation Sans1"/>
    </font>
    <font>
      <sz val="12"/>
      <color rgb="FFFFFFFF"/>
      <name val="Liberation Sans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</fills>
  <borders count="5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FF0000"/>
      </start>
      <end style="thin">
        <color rgb="FFFF0000"/>
      </end>
      <top style="thin">
        <color rgb="FFFF0000"/>
      </top>
      <bottom style="thin">
        <color rgb="FFFF0000"/>
      </bottom>
      <diagonal/>
    </border>
    <border>
      <start/>
      <end style="thin">
        <color rgb="FFFF0000"/>
      </end>
      <top style="thin">
        <color rgb="FFFF0000"/>
      </top>
      <bottom style="thin">
        <color rgb="FFFF0000"/>
      </bottom>
      <diagonal/>
    </border>
    <border>
      <start style="thin">
        <color rgb="FFB3B3B3"/>
      </start>
      <end style="thin">
        <color rgb="FFB3B3B3"/>
      </end>
      <top style="thin">
        <color rgb="FFB3B3B3"/>
      </top>
      <bottom style="thin">
        <color rgb="FFB3B3B3"/>
      </bottom>
      <diagonal/>
    </border>
  </borders>
  <cellStyleXfs count="18">
    <xf numFmtId="0" fontId="0" fillId="0" borderId="0"/>
    <xf numFmtId="0" fontId="11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" fillId="0" borderId="0"/>
    <xf numFmtId="0" fontId="10" fillId="0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13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/>
    <xf numFmtId="0" fontId="15" fillId="9" borderId="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3" fillId="9" borderId="2" xfId="0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9" fontId="17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5" fillId="10" borderId="4" xfId="0" applyFont="1" applyFill="1" applyBorder="1" applyAlignment="1">
      <alignment horizontal="center"/>
    </xf>
    <xf numFmtId="4" fontId="18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/>
    <xf numFmtId="167" fontId="0" fillId="0" borderId="0" xfId="0" applyNumberFormat="1" applyFont="1" applyAlignment="1">
      <alignment horizontal="center"/>
    </xf>
    <xf numFmtId="170" fontId="0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center"/>
    </xf>
    <xf numFmtId="167" fontId="0" fillId="0" borderId="0" xfId="0" applyNumberFormat="1"/>
    <xf numFmtId="2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2" fontId="15" fillId="0" borderId="0" xfId="0" applyNumberFormat="1" applyFont="1"/>
    <xf numFmtId="164" fontId="13" fillId="0" borderId="0" xfId="0" applyNumberFormat="1" applyFont="1" applyAlignment="1">
      <alignment horizontal="center"/>
    </xf>
    <xf numFmtId="2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164" fontId="15" fillId="0" borderId="0" xfId="0" applyNumberFormat="1" applyFont="1" applyAlignment="1">
      <alignment horizont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te" xfId="14"/>
    <cellStyle name="Standard" xfId="0" builtinId="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8000">
              <a:solidFill>
                <a:srgbClr val="FF0000"/>
              </a:solidFill>
            </a:ln>
          </c:spPr>
          <c:marker>
            <c:symbol val="circle"/>
            <c:size val="4"/>
          </c:marker>
          <c:xVal>
            <c:numRef>
              <c:f>calc!$D$2:$D$32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calc!$AG$2:$AG$32</c:f>
              <c:numCache>
                <c:formatCode>0.0000000</c:formatCode>
                <c:ptCount val="31"/>
                <c:pt idx="0">
                  <c:v>1.0074116267551907</c:v>
                </c:pt>
                <c:pt idx="1">
                  <c:v>1.0076687572427472</c:v>
                </c:pt>
                <c:pt idx="2">
                  <c:v>1.0079245810823114</c:v>
                </c:pt>
                <c:pt idx="3">
                  <c:v>1.0081788756574523</c:v>
                </c:pt>
                <c:pt idx="4">
                  <c:v>1.0084313973263566</c:v>
                </c:pt>
                <c:pt idx="5">
                  <c:v>1.0086818803423352</c:v>
                </c:pt>
                <c:pt idx="6">
                  <c:v>1.0089300353187909</c:v>
                </c:pt>
                <c:pt idx="7">
                  <c:v>1.0091755493024142</c:v>
                </c:pt>
                <c:pt idx="8">
                  <c:v>1.0094180893502431</c:v>
                </c:pt>
                <c:pt idx="9">
                  <c:v>1.0096573108894111</c:v>
                </c:pt>
                <c:pt idx="10">
                  <c:v>1.0098928711884838</c:v>
                </c:pt>
                <c:pt idx="11">
                  <c:v>1.0101244471693802</c:v>
                </c:pt>
                <c:pt idx="12">
                  <c:v>1.0103517557547343</c:v>
                </c:pt>
                <c:pt idx="13">
                  <c:v>1.0105745741841934</c:v>
                </c:pt>
                <c:pt idx="14">
                  <c:v>1.0107927574024469</c:v>
                </c:pt>
                <c:pt idx="15">
                  <c:v>1.0110062498003729</c:v>
                </c:pt>
                <c:pt idx="16">
                  <c:v>1.0112150892614638</c:v>
                </c:pt>
                <c:pt idx="17">
                  <c:v>1.0114194025191061</c:v>
                </c:pt>
                <c:pt idx="18">
                  <c:v>1.0116193920836873</c:v>
                </c:pt>
                <c:pt idx="19">
                  <c:v>1.0118153162308801</c:v>
                </c:pt>
                <c:pt idx="20">
                  <c:v>1.0120074645353334</c:v>
                </c:pt>
                <c:pt idx="21">
                  <c:v>1.0121961320126631</c:v>
                </c:pt>
                <c:pt idx="22">
                  <c:v>1.0123815949989632</c:v>
                </c:pt>
                <c:pt idx="23">
                  <c:v>1.0125640914473111</c:v>
                </c:pt>
                <c:pt idx="24">
                  <c:v>1.0127438074463613</c:v>
                </c:pt>
                <c:pt idx="25">
                  <c:v>1.0129208706356185</c:v>
                </c:pt>
                <c:pt idx="26">
                  <c:v>1.0130953500188211</c:v>
                </c:pt>
                <c:pt idx="27">
                  <c:v>1.0132672606788102</c:v>
                </c:pt>
                <c:pt idx="28">
                  <c:v>1.0134365712549298</c:v>
                </c:pt>
                <c:pt idx="29">
                  <c:v>1.0136032118668254</c:v>
                </c:pt>
                <c:pt idx="30">
                  <c:v>1.0137670804745029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131104"/>
        <c:axId val="638054640"/>
      </c:scatterChart>
      <c:valAx>
        <c:axId val="63805464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0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de-DE"/>
          </a:p>
        </c:txPr>
        <c:crossAx val="638131104"/>
        <c:crossesAt val="0"/>
        <c:crossBetween val="midCat"/>
      </c:valAx>
      <c:valAx>
        <c:axId val="638131104"/>
        <c:scaling>
          <c:orientation val="minMax"/>
          <c:max val="31"/>
          <c:min val="1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38054640"/>
        <c:crossesAt val="0"/>
        <c:crossBetween val="midCat"/>
        <c:majorUnit val="3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de-DE"/>
              <a:t>elevation of the Sun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828843474222016E-2"/>
          <c:y val="9.3797547659536379E-2"/>
          <c:w val="0.92713655364607528"/>
          <c:h val="0.88731764074107222"/>
        </c:manualLayout>
      </c:layout>
      <c:scatterChart>
        <c:scatterStyle val="lineMarker"/>
        <c:varyColors val="0"/>
        <c:ser>
          <c:idx val="0"/>
          <c:order val="0"/>
          <c:spPr>
            <a:ln w="180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calc!$AF$2:$AF$32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calc!$J$2:$J$32</c:f>
              <c:numCache>
                <c:formatCode>#,##0.00</c:formatCode>
                <c:ptCount val="31"/>
                <c:pt idx="0">
                  <c:v>-24.496499295582442</c:v>
                </c:pt>
                <c:pt idx="1">
                  <c:v>-24.19225559409422</c:v>
                </c:pt>
                <c:pt idx="2">
                  <c:v>-23.892445490236167</c:v>
                </c:pt>
                <c:pt idx="3">
                  <c:v>-23.597158032367201</c:v>
                </c:pt>
                <c:pt idx="4">
                  <c:v>-23.306481217838119</c:v>
                </c:pt>
                <c:pt idx="5">
                  <c:v>-23.020501951659966</c:v>
                </c:pt>
                <c:pt idx="6">
                  <c:v>-22.739306004037864</c:v>
                </c:pt>
                <c:pt idx="7">
                  <c:v>-22.462977967711698</c:v>
                </c:pt>
                <c:pt idx="8">
                  <c:v>-22.191601214436449</c:v>
                </c:pt>
                <c:pt idx="9">
                  <c:v>-21.925257850969015</c:v>
                </c:pt>
                <c:pt idx="10">
                  <c:v>-21.66402867489294</c:v>
                </c:pt>
                <c:pt idx="11">
                  <c:v>-21.407993129806187</c:v>
                </c:pt>
                <c:pt idx="12">
                  <c:v>-21.157229260387865</c:v>
                </c:pt>
                <c:pt idx="13">
                  <c:v>-20.91181366727896</c:v>
                </c:pt>
                <c:pt idx="14">
                  <c:v>-20.671821461720011</c:v>
                </c:pt>
                <c:pt idx="15">
                  <c:v>-20.437326220490295</c:v>
                </c:pt>
                <c:pt idx="16">
                  <c:v>-20.208399940490224</c:v>
                </c:pt>
                <c:pt idx="17">
                  <c:v>-19.985112993918211</c:v>
                </c:pt>
                <c:pt idx="18">
                  <c:v>-19.767534083385378</c:v>
                </c:pt>
                <c:pt idx="19">
                  <c:v>-19.555730197519296</c:v>
                </c:pt>
                <c:pt idx="20">
                  <c:v>-19.349766567002458</c:v>
                </c:pt>
                <c:pt idx="21">
                  <c:v>-19.149706620996898</c:v>
                </c:pt>
                <c:pt idx="22">
                  <c:v>-18.955611944466579</c:v>
                </c:pt>
                <c:pt idx="23">
                  <c:v>-18.767542235951101</c:v>
                </c:pt>
                <c:pt idx="24">
                  <c:v>-18.585555266134975</c:v>
                </c:pt>
                <c:pt idx="25">
                  <c:v>-18.40970683754384</c:v>
                </c:pt>
                <c:pt idx="26">
                  <c:v>-18.240050744924694</c:v>
                </c:pt>
                <c:pt idx="27">
                  <c:v>-18.076638736808349</c:v>
                </c:pt>
                <c:pt idx="28">
                  <c:v>-17.919520478192027</c:v>
                </c:pt>
                <c:pt idx="29">
                  <c:v>-17.768743514284132</c:v>
                </c:pt>
                <c:pt idx="30">
                  <c:v>-17.624353235817512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855456"/>
        <c:axId val="619853760"/>
      </c:scatterChart>
      <c:valAx>
        <c:axId val="619853760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</a:ln>
          </c:spPr>
        </c:majorGridlines>
        <c:numFmt formatCode="#.##0" sourceLinked="0"/>
        <c:majorTickMark val="none"/>
        <c:minorTickMark val="none"/>
        <c:tickLblPos val="low"/>
        <c:spPr>
          <a:ln w="6480">
            <a:solidFill>
              <a:srgbClr val="000000"/>
            </a:solidFill>
          </a:ln>
        </c:spPr>
        <c:txPr>
          <a:bodyPr/>
          <a:lstStyle/>
          <a:p>
            <a:pPr>
              <a:defRPr sz="1100" b="0" baseline="0%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619855456"/>
        <c:crossesAt val="0"/>
        <c:crossBetween val="midCat"/>
      </c:valAx>
      <c:valAx>
        <c:axId val="619855456"/>
        <c:scaling>
          <c:orientation val="minMax"/>
          <c:max val="31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baseline="0%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/>
                  <a:t>day</a:t>
                </a:r>
              </a:p>
            </c:rich>
          </c:tx>
          <c:layout>
            <c:manualLayout>
              <c:xMode val="edge"/>
              <c:yMode val="edge"/>
              <c:x val="0.86251741755689737"/>
              <c:y val="0.837196813747426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480">
            <a:solidFill>
              <a:srgbClr val="000000"/>
            </a:solidFill>
          </a:ln>
        </c:spPr>
        <c:txPr>
          <a:bodyPr/>
          <a:lstStyle/>
          <a:p>
            <a:pPr>
              <a:defRPr sz="1050" b="0" baseline="0%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619853760"/>
        <c:crossesAt val="0"/>
        <c:crossBetween val="midCat"/>
        <c:majorUnit val="1"/>
      </c:valAx>
      <c:spPr>
        <a:noFill/>
        <a:ln w="9360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de-DE"/>
              <a:t>azimuth of the Sun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3.1633924862009617E-2"/>
          <c:y val="8.7941069479810854E-2"/>
          <c:w val="0.94118345302391837"/>
          <c:h val="0.8956893415787559"/>
        </c:manualLayout>
      </c:layout>
      <c:scatterChart>
        <c:scatterStyle val="lineMarker"/>
        <c:varyColors val="0"/>
        <c:ser>
          <c:idx val="0"/>
          <c:order val="0"/>
          <c:spPr>
            <a:ln w="180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calc!$AF$2:$AF$32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calc!$K$2:$K$32</c:f>
              <c:numCache>
                <c:formatCode>#,##0.00</c:formatCode>
                <c:ptCount val="31"/>
                <c:pt idx="0">
                  <c:v>11.36511242316098</c:v>
                </c:pt>
                <c:pt idx="1">
                  <c:v>11.354022442949002</c:v>
                </c:pt>
                <c:pt idx="2">
                  <c:v>11.341145898373441</c:v>
                </c:pt>
                <c:pt idx="3">
                  <c:v>11.326487517682295</c:v>
                </c:pt>
                <c:pt idx="4">
                  <c:v>11.310054454824495</c:v>
                </c:pt>
                <c:pt idx="5">
                  <c:v>11.291856277101147</c:v>
                </c:pt>
                <c:pt idx="6">
                  <c:v>11.271904955497462</c:v>
                </c:pt>
                <c:pt idx="7">
                  <c:v>11.25021485033912</c:v>
                </c:pt>
                <c:pt idx="8">
                  <c:v>11.226802698215835</c:v>
                </c:pt>
                <c:pt idx="9">
                  <c:v>11.20168759766679</c:v>
                </c:pt>
                <c:pt idx="10">
                  <c:v>11.174890991393625</c:v>
                </c:pt>
                <c:pt idx="11">
                  <c:v>11.14643664945271</c:v>
                </c:pt>
                <c:pt idx="12">
                  <c:v>11.116350649760051</c:v>
                </c:pt>
                <c:pt idx="13">
                  <c:v>11.084661357014625</c:v>
                </c:pt>
                <c:pt idx="14">
                  <c:v>11.051399401145176</c:v>
                </c:pt>
                <c:pt idx="15">
                  <c:v>11.016597651437337</c:v>
                </c:pt>
                <c:pt idx="16">
                  <c:v>10.980291192361165</c:v>
                </c:pt>
                <c:pt idx="17">
                  <c:v>10.942517294026629</c:v>
                </c:pt>
                <c:pt idx="18">
                  <c:v>10.903315383253158</c:v>
                </c:pt>
                <c:pt idx="19">
                  <c:v>10.862727011484935</c:v>
                </c:pt>
                <c:pt idx="20">
                  <c:v>10.820795820653075</c:v>
                </c:pt>
                <c:pt idx="21">
                  <c:v>10.777567508086833</c:v>
                </c:pt>
                <c:pt idx="22">
                  <c:v>10.733089786993162</c:v>
                </c:pt>
                <c:pt idx="23">
                  <c:v>10.687412346826761</c:v>
                </c:pt>
                <c:pt idx="24">
                  <c:v>10.640586811465596</c:v>
                </c:pt>
                <c:pt idx="25">
                  <c:v>10.592666693106707</c:v>
                </c:pt>
                <c:pt idx="26">
                  <c:v>10.543707346218838</c:v>
                </c:pt>
                <c:pt idx="27">
                  <c:v>10.493765918127593</c:v>
                </c:pt>
                <c:pt idx="28">
                  <c:v>10.442901297370327</c:v>
                </c:pt>
                <c:pt idx="29">
                  <c:v>10.391174060970798</c:v>
                </c:pt>
                <c:pt idx="30">
                  <c:v>10.338646417043321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319648"/>
        <c:axId val="620317952"/>
      </c:scatterChart>
      <c:valAx>
        <c:axId val="6203179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20319648"/>
        <c:crossesAt val="0"/>
        <c:crossBetween val="midCat"/>
      </c:valAx>
      <c:valAx>
        <c:axId val="620319648"/>
        <c:scaling>
          <c:orientation val="minMax"/>
          <c:max val="31"/>
          <c:min val="1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de-DE"/>
                  <a:t>day</a:t>
                </a:r>
              </a:p>
            </c:rich>
          </c:tx>
          <c:layout>
            <c:manualLayout>
              <c:xMode val="edge"/>
              <c:yMode val="edge"/>
              <c:x val="0.90402991275446609"/>
              <c:y val="0.835485631138595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20317952"/>
        <c:crossesAt val="0"/>
        <c:crossBetween val="midCat"/>
        <c:majorUnit val="1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autoTitleDeleted val="1"/>
    <c:plotArea>
      <c:layout>
        <c:manualLayout>
          <c:xMode val="edge"/>
          <c:yMode val="edge"/>
          <c:x val="5.5154375390913744E-2"/>
          <c:y val="3.7595367221251952E-2"/>
          <c:w val="0.9159037925740604"/>
          <c:h val="0.86405000459601067"/>
        </c:manualLayout>
      </c:layout>
      <c:scatterChart>
        <c:scatterStyle val="lineMarker"/>
        <c:varyColors val="0"/>
        <c:ser>
          <c:idx val="0"/>
          <c:order val="0"/>
          <c:spPr>
            <a:ln w="18000">
              <a:solidFill>
                <a:srgbClr val="0000FF"/>
              </a:solidFill>
            </a:ln>
          </c:spPr>
          <c:marker>
            <c:symbol val="circle"/>
            <c:size val="4"/>
          </c:marker>
          <c:xVal>
            <c:numRef>
              <c:f>calc!$K$2:$K$32</c:f>
              <c:numCache>
                <c:formatCode>#,##0.00</c:formatCode>
                <c:ptCount val="31"/>
                <c:pt idx="0">
                  <c:v>11.36511242316098</c:v>
                </c:pt>
                <c:pt idx="1">
                  <c:v>11.354022442949002</c:v>
                </c:pt>
                <c:pt idx="2">
                  <c:v>11.341145898373441</c:v>
                </c:pt>
                <c:pt idx="3">
                  <c:v>11.326487517682295</c:v>
                </c:pt>
                <c:pt idx="4">
                  <c:v>11.310054454824495</c:v>
                </c:pt>
                <c:pt idx="5">
                  <c:v>11.291856277101147</c:v>
                </c:pt>
                <c:pt idx="6">
                  <c:v>11.271904955497462</c:v>
                </c:pt>
                <c:pt idx="7">
                  <c:v>11.25021485033912</c:v>
                </c:pt>
                <c:pt idx="8">
                  <c:v>11.226802698215835</c:v>
                </c:pt>
                <c:pt idx="9">
                  <c:v>11.20168759766679</c:v>
                </c:pt>
                <c:pt idx="10">
                  <c:v>11.174890991393625</c:v>
                </c:pt>
                <c:pt idx="11">
                  <c:v>11.14643664945271</c:v>
                </c:pt>
                <c:pt idx="12">
                  <c:v>11.116350649760051</c:v>
                </c:pt>
                <c:pt idx="13">
                  <c:v>11.084661357014625</c:v>
                </c:pt>
                <c:pt idx="14">
                  <c:v>11.051399401145176</c:v>
                </c:pt>
                <c:pt idx="15">
                  <c:v>11.016597651437337</c:v>
                </c:pt>
                <c:pt idx="16">
                  <c:v>10.980291192361165</c:v>
                </c:pt>
                <c:pt idx="17">
                  <c:v>10.942517294026629</c:v>
                </c:pt>
                <c:pt idx="18">
                  <c:v>10.903315383253158</c:v>
                </c:pt>
                <c:pt idx="19">
                  <c:v>10.862727011484935</c:v>
                </c:pt>
                <c:pt idx="20">
                  <c:v>10.820795820653075</c:v>
                </c:pt>
                <c:pt idx="21">
                  <c:v>10.777567508086833</c:v>
                </c:pt>
                <c:pt idx="22">
                  <c:v>10.733089786993162</c:v>
                </c:pt>
                <c:pt idx="23">
                  <c:v>10.687412346826761</c:v>
                </c:pt>
                <c:pt idx="24">
                  <c:v>10.640586811465596</c:v>
                </c:pt>
                <c:pt idx="25">
                  <c:v>10.592666693106707</c:v>
                </c:pt>
                <c:pt idx="26">
                  <c:v>10.543707346218838</c:v>
                </c:pt>
                <c:pt idx="27">
                  <c:v>10.493765918127593</c:v>
                </c:pt>
                <c:pt idx="28">
                  <c:v>10.442901297370327</c:v>
                </c:pt>
                <c:pt idx="29">
                  <c:v>10.391174060970798</c:v>
                </c:pt>
                <c:pt idx="30">
                  <c:v>10.338646417043321</c:v>
                </c:pt>
              </c:numCache>
            </c:numRef>
          </c:xVal>
          <c:yVal>
            <c:numRef>
              <c:f>calc!$J$2:$J$32</c:f>
              <c:numCache>
                <c:formatCode>#,##0.00</c:formatCode>
                <c:ptCount val="31"/>
                <c:pt idx="0">
                  <c:v>-24.496499295582442</c:v>
                </c:pt>
                <c:pt idx="1">
                  <c:v>-24.19225559409422</c:v>
                </c:pt>
                <c:pt idx="2">
                  <c:v>-23.892445490236167</c:v>
                </c:pt>
                <c:pt idx="3">
                  <c:v>-23.597158032367201</c:v>
                </c:pt>
                <c:pt idx="4">
                  <c:v>-23.306481217838119</c:v>
                </c:pt>
                <c:pt idx="5">
                  <c:v>-23.020501951659966</c:v>
                </c:pt>
                <c:pt idx="6">
                  <c:v>-22.739306004037864</c:v>
                </c:pt>
                <c:pt idx="7">
                  <c:v>-22.462977967711698</c:v>
                </c:pt>
                <c:pt idx="8">
                  <c:v>-22.191601214436449</c:v>
                </c:pt>
                <c:pt idx="9">
                  <c:v>-21.925257850969015</c:v>
                </c:pt>
                <c:pt idx="10">
                  <c:v>-21.66402867489294</c:v>
                </c:pt>
                <c:pt idx="11">
                  <c:v>-21.407993129806187</c:v>
                </c:pt>
                <c:pt idx="12">
                  <c:v>-21.157229260387865</c:v>
                </c:pt>
                <c:pt idx="13">
                  <c:v>-20.91181366727896</c:v>
                </c:pt>
                <c:pt idx="14">
                  <c:v>-20.671821461720011</c:v>
                </c:pt>
                <c:pt idx="15">
                  <c:v>-20.437326220490295</c:v>
                </c:pt>
                <c:pt idx="16">
                  <c:v>-20.208399940490224</c:v>
                </c:pt>
                <c:pt idx="17">
                  <c:v>-19.985112993918211</c:v>
                </c:pt>
                <c:pt idx="18">
                  <c:v>-19.767534083385378</c:v>
                </c:pt>
                <c:pt idx="19">
                  <c:v>-19.555730197519296</c:v>
                </c:pt>
                <c:pt idx="20">
                  <c:v>-19.349766567002458</c:v>
                </c:pt>
                <c:pt idx="21">
                  <c:v>-19.149706620996898</c:v>
                </c:pt>
                <c:pt idx="22">
                  <c:v>-18.955611944466579</c:v>
                </c:pt>
                <c:pt idx="23">
                  <c:v>-18.767542235951101</c:v>
                </c:pt>
                <c:pt idx="24">
                  <c:v>-18.585555266134975</c:v>
                </c:pt>
                <c:pt idx="25">
                  <c:v>-18.40970683754384</c:v>
                </c:pt>
                <c:pt idx="26">
                  <c:v>-18.240050744924694</c:v>
                </c:pt>
                <c:pt idx="27">
                  <c:v>-18.076638736808349</c:v>
                </c:pt>
                <c:pt idx="28">
                  <c:v>-17.919520478192027</c:v>
                </c:pt>
                <c:pt idx="29">
                  <c:v>-17.768743514284132</c:v>
                </c:pt>
                <c:pt idx="30">
                  <c:v>-17.624353235817512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886352"/>
        <c:axId val="619883904"/>
      </c:scatterChart>
      <c:valAx>
        <c:axId val="6198839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de-DE"/>
                  <a:t>elev</a:t>
                </a:r>
              </a:p>
            </c:rich>
          </c:tx>
          <c:layout>
            <c:manualLayout>
              <c:xMode val="edge"/>
              <c:yMode val="edge"/>
              <c:x val="2.0924546540057997E-2"/>
              <c:y val="0.3657502732073005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19886352"/>
        <c:crossesAt val="0"/>
        <c:crossBetween val="midCat"/>
      </c:valAx>
      <c:valAx>
        <c:axId val="619886352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de-DE"/>
                  <a:t>az</a:t>
                </a:r>
              </a:p>
            </c:rich>
          </c:tx>
          <c:layout>
            <c:manualLayout>
              <c:xMode val="edge"/>
              <c:yMode val="edge"/>
              <c:x val="0.87826235287428223"/>
              <c:y val="0.79704016913319242"/>
            </c:manualLayout>
          </c:layout>
          <c:overlay val="0"/>
        </c:title>
        <c:numFmt formatCode="#,#00" sourceLinked="0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19883904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80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'E o T'!$F$2:$F$32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'E o T'!$G$2:$G$32</c:f>
              <c:numCache>
                <c:formatCode>0.00</c:formatCode>
                <c:ptCount val="31"/>
                <c:pt idx="0">
                  <c:v>2.7803160632057882</c:v>
                </c:pt>
                <c:pt idx="1">
                  <c:v>2.9042483922252131</c:v>
                </c:pt>
                <c:pt idx="2">
                  <c:v>3.0192035027076543</c:v>
                </c:pt>
                <c:pt idx="3">
                  <c:v>3.1250716913373253</c:v>
                </c:pt>
                <c:pt idx="4">
                  <c:v>3.2217542347542576</c:v>
                </c:pt>
                <c:pt idx="5">
                  <c:v>3.309163637395244</c:v>
                </c:pt>
                <c:pt idx="6">
                  <c:v>3.3872238724910915</c:v>
                </c:pt>
                <c:pt idx="7">
                  <c:v>3.4558706152542413</c:v>
                </c:pt>
                <c:pt idx="8">
                  <c:v>3.5150514672563418</c:v>
                </c:pt>
                <c:pt idx="9">
                  <c:v>3.5647261709616203</c:v>
                </c:pt>
                <c:pt idx="10">
                  <c:v>3.6048668133525155</c:v>
                </c:pt>
                <c:pt idx="11">
                  <c:v>3.6354580175611204</c:v>
                </c:pt>
                <c:pt idx="12">
                  <c:v>3.6564971213955459</c:v>
                </c:pt>
                <c:pt idx="13">
                  <c:v>3.6679943416372964</c:v>
                </c:pt>
                <c:pt idx="14">
                  <c:v>3.6699729229762852</c:v>
                </c:pt>
                <c:pt idx="15">
                  <c:v>3.6624692704428696</c:v>
                </c:pt>
                <c:pt idx="16">
                  <c:v>3.6455330641985881</c:v>
                </c:pt>
                <c:pt idx="17">
                  <c:v>3.6192273555586212</c:v>
                </c:pt>
                <c:pt idx="18">
                  <c:v>3.583628643128776</c:v>
                </c:pt>
                <c:pt idx="19">
                  <c:v>3.5388269279678468</c:v>
                </c:pt>
                <c:pt idx="20">
                  <c:v>3.4849257467127472</c:v>
                </c:pt>
                <c:pt idx="21">
                  <c:v>3.4220421816408191</c:v>
                </c:pt>
                <c:pt idx="22">
                  <c:v>3.350306846694167</c:v>
                </c:pt>
                <c:pt idx="23">
                  <c:v>3.2698638485387335</c:v>
                </c:pt>
                <c:pt idx="24">
                  <c:v>3.1808707217985841</c:v>
                </c:pt>
                <c:pt idx="25">
                  <c:v>3.0834983376708465</c:v>
                </c:pt>
                <c:pt idx="26">
                  <c:v>2.977930785208116</c:v>
                </c:pt>
                <c:pt idx="27">
                  <c:v>2.8643652246427678</c:v>
                </c:pt>
                <c:pt idx="28">
                  <c:v>2.7430117122156616</c:v>
                </c:pt>
                <c:pt idx="29">
                  <c:v>2.6140929960798758</c:v>
                </c:pt>
                <c:pt idx="30">
                  <c:v>2.4778442829544929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768288"/>
        <c:axId val="638766592"/>
      </c:scatterChart>
      <c:valAx>
        <c:axId val="6387665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38768288"/>
        <c:crossesAt val="0"/>
        <c:crossBetween val="midCat"/>
      </c:valAx>
      <c:valAx>
        <c:axId val="638768288"/>
        <c:scaling>
          <c:orientation val="minMax"/>
          <c:max val="31"/>
          <c:min val="1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38766592"/>
        <c:crossesAt val="0"/>
        <c:crossBetween val="midCat"/>
        <c:majorUnit val="2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title>
      <c:tx>
        <c:rich>
          <a:bodyPr/>
          <a:lstStyle/>
          <a:p>
            <a:pPr>
              <a:defRPr sz="1200" b="0"/>
            </a:pPr>
            <a:r>
              <a:rPr lang="de-DE"/>
              <a:t>declination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3840810963018585E-2"/>
          <c:y val="0.10730226745224068"/>
          <c:w val="0.94030411113196921"/>
          <c:h val="0.8327977146938047"/>
        </c:manualLayout>
      </c:layout>
      <c:scatterChart>
        <c:scatterStyle val="lineMarker"/>
        <c:varyColors val="0"/>
        <c:ser>
          <c:idx val="0"/>
          <c:order val="0"/>
          <c:spPr>
            <a:ln w="180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'declin  dist'!$F$2:$F$32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'declin  dist'!$G$2:$G$32</c:f>
              <c:numCache>
                <c:formatCode>0.00</c:formatCode>
                <c:ptCount val="31"/>
                <c:pt idx="0">
                  <c:v>14.858784749955143</c:v>
                </c:pt>
                <c:pt idx="1">
                  <c:v>15.162221792212186</c:v>
                </c:pt>
                <c:pt idx="2">
                  <c:v>15.461482490925825</c:v>
                </c:pt>
                <c:pt idx="3">
                  <c:v>15.75647934409171</c:v>
                </c:pt>
                <c:pt idx="4">
                  <c:v>16.047125411805467</c:v>
                </c:pt>
                <c:pt idx="5">
                  <c:v>16.333334351750892</c:v>
                </c:pt>
                <c:pt idx="6">
                  <c:v>16.615020456552308</c:v>
                </c:pt>
                <c:pt idx="7">
                  <c:v>16.892098692975271</c:v>
                </c:pt>
                <c:pt idx="8">
                  <c:v>17.164484742952691</c:v>
                </c:pt>
                <c:pt idx="9">
                  <c:v>17.432095046400381</c:v>
                </c:pt>
                <c:pt idx="10">
                  <c:v>17.694846845788096</c:v>
                </c:pt>
                <c:pt idx="11">
                  <c:v>17.952658232417267</c:v>
                </c:pt>
                <c:pt idx="12">
                  <c:v>18.20544819435209</c:v>
                </c:pt>
                <c:pt idx="13">
                  <c:v>18.453136665944989</c:v>
                </c:pt>
                <c:pt idx="14">
                  <c:v>18.695644578882995</c:v>
                </c:pt>
                <c:pt idx="15">
                  <c:v>18.93289391468133</c:v>
                </c:pt>
                <c:pt idx="16">
                  <c:v>19.164807758538572</c:v>
                </c:pt>
                <c:pt idx="17">
                  <c:v>19.391310354456067</c:v>
                </c:pt>
                <c:pt idx="18">
                  <c:v>19.612327161525812</c:v>
                </c:pt>
                <c:pt idx="19">
                  <c:v>19.827784911270925</c:v>
                </c:pt>
                <c:pt idx="20">
                  <c:v>20.03761166592481</c:v>
                </c:pt>
                <c:pt idx="21">
                  <c:v>20.241736877522424</c:v>
                </c:pt>
                <c:pt idx="22">
                  <c:v>20.440091447668394</c:v>
                </c:pt>
                <c:pt idx="23">
                  <c:v>20.632607787844901</c:v>
                </c:pt>
                <c:pt idx="24">
                  <c:v>20.819219880106729</c:v>
                </c:pt>
                <c:pt idx="25">
                  <c:v>20.999863338013476</c:v>
                </c:pt>
                <c:pt idx="26">
                  <c:v>21.17447546763654</c:v>
                </c:pt>
                <c:pt idx="27">
                  <c:v>21.342995328473535</c:v>
                </c:pt>
                <c:pt idx="28">
                  <c:v>21.505363794101157</c:v>
                </c:pt>
                <c:pt idx="29">
                  <c:v>21.661523612389111</c:v>
                </c:pt>
                <c:pt idx="30">
                  <c:v>21.811419465095231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448288"/>
        <c:axId val="638446592"/>
      </c:scatterChart>
      <c:valAx>
        <c:axId val="6384465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38448288"/>
        <c:crossesAt val="0"/>
        <c:crossBetween val="midCat"/>
      </c:valAx>
      <c:valAx>
        <c:axId val="638448288"/>
        <c:scaling>
          <c:orientation val="minMax"/>
          <c:max val="31"/>
          <c:min val="1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de-DE"/>
                  <a:t>day</a:t>
                </a:r>
              </a:p>
            </c:rich>
          </c:tx>
          <c:layout>
            <c:manualLayout>
              <c:xMode val="edge"/>
              <c:yMode val="edge"/>
              <c:x val="0.83855828796696075"/>
              <c:y val="0.7918228887698625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38446592"/>
        <c:crossesAt val="0"/>
        <c:crossBetween val="midCat"/>
        <c:majorUnit val="2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de-DE"/>
              <a:t>distance of the Sun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9011981803037093E-2"/>
          <c:y val="0.12095307384503455"/>
          <c:w val="0.92682770551675531"/>
          <c:h val="0.80192797380865777"/>
        </c:manualLayout>
      </c:layout>
      <c:scatterChart>
        <c:scatterStyle val="lineMarker"/>
        <c:varyColors val="0"/>
        <c:ser>
          <c:idx val="0"/>
          <c:order val="0"/>
          <c:spPr>
            <a:ln w="180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'declin  dist'!$F$2:$F$32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'declin  dist'!$H$2:$H$32</c:f>
              <c:numCache>
                <c:formatCode>0.00000</c:formatCode>
                <c:ptCount val="31"/>
                <c:pt idx="0">
                  <c:v>1.0074116267551907</c:v>
                </c:pt>
                <c:pt idx="1">
                  <c:v>1.0076687572427472</c:v>
                </c:pt>
                <c:pt idx="2">
                  <c:v>1.0079245810823114</c:v>
                </c:pt>
                <c:pt idx="3">
                  <c:v>1.0081788756574523</c:v>
                </c:pt>
                <c:pt idx="4">
                  <c:v>1.0084313973263566</c:v>
                </c:pt>
                <c:pt idx="5">
                  <c:v>1.0086818803423352</c:v>
                </c:pt>
                <c:pt idx="6">
                  <c:v>1.0089300353187909</c:v>
                </c:pt>
                <c:pt idx="7">
                  <c:v>1.0091755493024142</c:v>
                </c:pt>
                <c:pt idx="8">
                  <c:v>1.0094180893502431</c:v>
                </c:pt>
                <c:pt idx="9">
                  <c:v>1.0096573108894111</c:v>
                </c:pt>
                <c:pt idx="10">
                  <c:v>1.0098928711884838</c:v>
                </c:pt>
                <c:pt idx="11">
                  <c:v>1.0101244471693802</c:v>
                </c:pt>
                <c:pt idx="12">
                  <c:v>1.0103517557547343</c:v>
                </c:pt>
                <c:pt idx="13">
                  <c:v>1.0105745741841934</c:v>
                </c:pt>
                <c:pt idx="14">
                  <c:v>1.0107927574024469</c:v>
                </c:pt>
                <c:pt idx="15">
                  <c:v>1.0110062498003729</c:v>
                </c:pt>
                <c:pt idx="16">
                  <c:v>1.0112150892614638</c:v>
                </c:pt>
                <c:pt idx="17">
                  <c:v>1.0114194025191061</c:v>
                </c:pt>
                <c:pt idx="18">
                  <c:v>1.0116193920836873</c:v>
                </c:pt>
                <c:pt idx="19">
                  <c:v>1.0118153162308801</c:v>
                </c:pt>
                <c:pt idx="20">
                  <c:v>1.0120074645353334</c:v>
                </c:pt>
                <c:pt idx="21">
                  <c:v>1.0121961320126631</c:v>
                </c:pt>
                <c:pt idx="22">
                  <c:v>1.0123815949989632</c:v>
                </c:pt>
                <c:pt idx="23">
                  <c:v>1.0125640914473111</c:v>
                </c:pt>
                <c:pt idx="24">
                  <c:v>1.0127438074463613</c:v>
                </c:pt>
                <c:pt idx="25">
                  <c:v>1.0129208706356185</c:v>
                </c:pt>
                <c:pt idx="26">
                  <c:v>1.0130953500188211</c:v>
                </c:pt>
                <c:pt idx="27">
                  <c:v>1.0132672606788102</c:v>
                </c:pt>
                <c:pt idx="28">
                  <c:v>1.0134365712549298</c:v>
                </c:pt>
                <c:pt idx="29">
                  <c:v>1.0136032118668254</c:v>
                </c:pt>
                <c:pt idx="30">
                  <c:v>1.0137670804745029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848304"/>
        <c:axId val="618677744"/>
      </c:scatterChart>
      <c:valAx>
        <c:axId val="61867774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de-DE"/>
                  <a:t>R / AU</a:t>
                </a:r>
              </a:p>
            </c:rich>
          </c:tx>
          <c:layout>
            <c:manualLayout>
              <c:xMode val="edge"/>
              <c:yMode val="edge"/>
              <c:x val="6.0357531876721979E-2"/>
              <c:y val="5.0927610040014552E-2"/>
            </c:manualLayout>
          </c:layout>
          <c:overlay val="0"/>
        </c:title>
        <c:numFmt formatCode="00,000" sourceLinked="0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37848304"/>
        <c:crossesAt val="0"/>
        <c:crossBetween val="midCat"/>
      </c:valAx>
      <c:valAx>
        <c:axId val="637848304"/>
        <c:scaling>
          <c:orientation val="minMax"/>
          <c:max val="31"/>
          <c:min val="1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de-DE"/>
                  <a:t>day</a:t>
                </a:r>
              </a:p>
            </c:rich>
          </c:tx>
          <c:layout>
            <c:manualLayout>
              <c:xMode val="edge"/>
              <c:yMode val="edge"/>
              <c:x val="0.86518869737938109"/>
              <c:y val="0.801200436522371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618677744"/>
        <c:crossesAt val="0"/>
        <c:crossBetween val="midCat"/>
        <c:majorUnit val="2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title>
      <c:tx>
        <c:rich>
          <a:bodyPr/>
          <a:lstStyle/>
          <a:p>
            <a:pPr>
              <a:defRPr sz="1200" b="0"/>
            </a:pPr>
            <a:r>
              <a:rPr lang="de-DE"/>
              <a:t>ecliptic longitude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5219023779724656E-2"/>
          <c:y val="0.10279259876800519"/>
          <c:w val="0.90463078848560707"/>
          <c:h val="0.83393080450187584"/>
        </c:manualLayout>
      </c:layout>
      <c:scatterChart>
        <c:scatterStyle val="lineMarker"/>
        <c:varyColors val="0"/>
        <c:ser>
          <c:idx val="0"/>
          <c:order val="0"/>
          <c:spPr>
            <a:ln w="180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orbit!$F$2:$F$32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orbit!$G$2:$G$32</c:f>
              <c:numCache>
                <c:formatCode>0.000</c:formatCode>
                <c:ptCount val="31"/>
                <c:pt idx="0">
                  <c:v>40.139211752736557</c:v>
                </c:pt>
                <c:pt idx="1">
                  <c:v>41.109943166538706</c:v>
                </c:pt>
                <c:pt idx="2">
                  <c:v>42.080187123891626</c:v>
                </c:pt>
                <c:pt idx="3">
                  <c:v>43.04994850467407</c:v>
                </c:pt>
                <c:pt idx="4">
                  <c:v>44.019232314068745</c:v>
                </c:pt>
                <c:pt idx="5">
                  <c:v>44.988043680778098</c:v>
                </c:pt>
                <c:pt idx="6">
                  <c:v>45.956387855217912</c:v>
                </c:pt>
                <c:pt idx="7">
                  <c:v>46.924270207696459</c:v>
                </c:pt>
                <c:pt idx="8">
                  <c:v>47.891696226586056</c:v>
                </c:pt>
                <c:pt idx="9">
                  <c:v>48.858671516472434</c:v>
                </c:pt>
                <c:pt idx="10">
                  <c:v>49.825201796298536</c:v>
                </c:pt>
                <c:pt idx="11">
                  <c:v>50.79129289749401</c:v>
                </c:pt>
                <c:pt idx="12">
                  <c:v>51.756950762091357</c:v>
                </c:pt>
                <c:pt idx="13">
                  <c:v>52.722181440838369</c:v>
                </c:pt>
                <c:pt idx="14">
                  <c:v>53.686991091291745</c:v>
                </c:pt>
                <c:pt idx="15">
                  <c:v>54.65138597590547</c:v>
                </c:pt>
                <c:pt idx="16">
                  <c:v>55.61537246011477</c:v>
                </c:pt>
                <c:pt idx="17">
                  <c:v>56.57895701040043</c:v>
                </c:pt>
                <c:pt idx="18">
                  <c:v>57.54214619235875</c:v>
                </c:pt>
                <c:pt idx="19">
                  <c:v>58.504946668752865</c:v>
                </c:pt>
                <c:pt idx="20">
                  <c:v>59.467365197561961</c:v>
                </c:pt>
                <c:pt idx="21">
                  <c:v>60.429408630026487</c:v>
                </c:pt>
                <c:pt idx="22">
                  <c:v>61.391083908679988</c:v>
                </c:pt>
                <c:pt idx="23">
                  <c:v>62.352398065386417</c:v>
                </c:pt>
                <c:pt idx="24">
                  <c:v>63.313358219358946</c:v>
                </c:pt>
                <c:pt idx="25">
                  <c:v>64.273971575182657</c:v>
                </c:pt>
                <c:pt idx="26">
                  <c:v>65.234245420832778</c:v>
                </c:pt>
                <c:pt idx="27">
                  <c:v>66.194187125682888</c:v>
                </c:pt>
                <c:pt idx="28">
                  <c:v>67.153804138515511</c:v>
                </c:pt>
                <c:pt idx="29">
                  <c:v>68.11310398552682</c:v>
                </c:pt>
                <c:pt idx="30">
                  <c:v>69.072094268323227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13920"/>
        <c:axId val="578312224"/>
      </c:scatterChart>
      <c:valAx>
        <c:axId val="57831222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578313920"/>
        <c:crossesAt val="0"/>
        <c:crossBetween val="midCat"/>
      </c:valAx>
      <c:valAx>
        <c:axId val="578313920"/>
        <c:scaling>
          <c:orientation val="minMax"/>
          <c:max val="31"/>
          <c:min val="1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de-DE"/>
                  <a:t>day</a:t>
                </a:r>
              </a:p>
            </c:rich>
          </c:tx>
          <c:layout>
            <c:manualLayout>
              <c:xMode val="edge"/>
              <c:yMode val="edge"/>
              <c:x val="0.86026265470727292"/>
              <c:y val="0.8092536241952664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0"/>
            </a:pPr>
            <a:endParaRPr lang="de-DE"/>
          </a:p>
        </c:txPr>
        <c:crossAx val="578312224"/>
        <c:crossesAt val="0"/>
        <c:crossBetween val="midCat"/>
        <c:majorUnit val="2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e-DE"/>
  <c:roundedCorners val="0"/>
  <c:style val="2"/>
  <c:chart>
    <c:title>
      <c:tx>
        <c:rich>
          <a:bodyPr/>
          <a:lstStyle/>
          <a:p>
            <a:pPr>
              <a:defRPr sz="1200" b="0"/>
            </a:pPr>
            <a:r>
              <a:rPr lang="de-DE"/>
              <a:t>ecliptic orbit</a:t>
            </a:r>
          </a:p>
        </c:rich>
      </c:tx>
      <c:layout>
        <c:manualLayout>
          <c:xMode val="edge"/>
          <c:yMode val="edge"/>
          <c:x val="0.41756866670837761"/>
          <c:y val="1.1680143755615454E-2"/>
        </c:manualLayout>
      </c:layout>
      <c:overlay val="0"/>
    </c:title>
    <c:autoTitleDeleted val="0"/>
    <c:plotArea>
      <c:layout>
        <c:manualLayout>
          <c:xMode val="edge"/>
          <c:yMode val="edge"/>
          <c:x val="6.5006569480072579E-2"/>
          <c:y val="6.3085611603131822E-2"/>
          <c:w val="0.87586810986673347"/>
          <c:h val="0.89828006674367855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3"/>
          </c:marker>
          <c:xVal>
            <c:numRef>
              <c:f>orbit!$H$2:$H$32</c:f>
              <c:numCache>
                <c:formatCode>0.00</c:formatCode>
                <c:ptCount val="31"/>
                <c:pt idx="0">
                  <c:v>0.76448040023263542</c:v>
                </c:pt>
                <c:pt idx="1">
                  <c:v>0.75344929940117256</c:v>
                </c:pt>
                <c:pt idx="2">
                  <c:v>0.74220763008195434</c:v>
                </c:pt>
                <c:pt idx="3">
                  <c:v>0.73075888090003505</c:v>
                </c:pt>
                <c:pt idx="4">
                  <c:v>0.71910658578568865</c:v>
                </c:pt>
                <c:pt idx="5">
                  <c:v>0.70725432280812794</c:v>
                </c:pt>
                <c:pt idx="6">
                  <c:v>0.69520571301450973</c:v>
                </c:pt>
                <c:pt idx="7">
                  <c:v>0.68296441927448603</c:v>
                </c:pt>
                <c:pt idx="8">
                  <c:v>0.670534145130537</c:v>
                </c:pt>
                <c:pt idx="9">
                  <c:v>0.65791863365457481</c:v>
                </c:pt>
                <c:pt idx="10">
                  <c:v>0.64512166631089352</c:v>
                </c:pt>
                <c:pt idx="11">
                  <c:v>0.63214706182584246</c:v>
                </c:pt>
                <c:pt idx="12">
                  <c:v>0.61899867506445572</c:v>
                </c:pt>
                <c:pt idx="13">
                  <c:v>0.60568039591413791</c:v>
                </c:pt>
                <c:pt idx="14">
                  <c:v>0.59219614817581567</c:v>
                </c:pt>
                <c:pt idx="15">
                  <c:v>0.57854988846256483</c:v>
                </c:pt>
                <c:pt idx="16">
                  <c:v>0.56474560510586502</c:v>
                </c:pt>
                <c:pt idx="17">
                  <c:v>0.55078731706985462</c:v>
                </c:pt>
                <c:pt idx="18">
                  <c:v>0.53667907287336136</c:v>
                </c:pt>
                <c:pt idx="19">
                  <c:v>0.52242494952017371</c:v>
                </c:pt>
                <c:pt idx="20">
                  <c:v>0.50802905143741894</c:v>
                </c:pt>
                <c:pt idx="21">
                  <c:v>0.4934955094221582</c:v>
                </c:pt>
                <c:pt idx="22">
                  <c:v>0.47882847959640484</c:v>
                </c:pt>
                <c:pt idx="23">
                  <c:v>0.46403214237034024</c:v>
                </c:pt>
                <c:pt idx="24">
                  <c:v>0.44911070141412474</c:v>
                </c:pt>
                <c:pt idx="25">
                  <c:v>0.43406838263799036</c:v>
                </c:pt>
                <c:pt idx="26">
                  <c:v>0.41890943318074092</c:v>
                </c:pt>
                <c:pt idx="27">
                  <c:v>0.40363812040675295</c:v>
                </c:pt>
                <c:pt idx="28">
                  <c:v>0.38825873091125157</c:v>
                </c:pt>
                <c:pt idx="29">
                  <c:v>0.3727755695339659</c:v>
                </c:pt>
                <c:pt idx="30">
                  <c:v>0.35719295838114945</c:v>
                </c:pt>
              </c:numCache>
            </c:numRef>
          </c:xVal>
          <c:yVal>
            <c:numRef>
              <c:f>orbit!$I$2:$I$32</c:f>
              <c:numCache>
                <c:formatCode>0.00</c:formatCode>
                <c:ptCount val="31"/>
                <c:pt idx="0">
                  <c:v>0.64464697134179538</c:v>
                </c:pt>
                <c:pt idx="1">
                  <c:v>0.65750601003479969</c:v>
                </c:pt>
                <c:pt idx="2">
                  <c:v>0.67017000369169666</c:v>
                </c:pt>
                <c:pt idx="3">
                  <c:v>0.68263567002151915</c:v>
                </c:pt>
                <c:pt idx="4">
                  <c:v>0.69489979009901137</c:v>
                </c:pt>
                <c:pt idx="5">
                  <c:v>0.70695920877319107</c:v>
                </c:pt>
                <c:pt idx="6">
                  <c:v>0.71881083505466659</c:v>
                </c:pt>
                <c:pt idx="7">
                  <c:v>0.73045164248228234</c:v>
                </c:pt>
                <c:pt idx="8">
                  <c:v>0.7418786694696512</c:v>
                </c:pt>
                <c:pt idx="9">
                  <c:v>0.75308901963187413</c:v>
                </c:pt>
                <c:pt idx="10">
                  <c:v>0.76407986209312972</c:v>
                </c:pt>
                <c:pt idx="11">
                  <c:v>0.77484843177550178</c:v>
                </c:pt>
                <c:pt idx="12">
                  <c:v>0.78539202966954558</c:v>
                </c:pt>
                <c:pt idx="13">
                  <c:v>0.79570802308717059</c:v>
                </c:pt>
                <c:pt idx="14">
                  <c:v>0.80579384589715464</c:v>
                </c:pt>
                <c:pt idx="15">
                  <c:v>0.81564699874391355</c:v>
                </c:pt>
                <c:pt idx="16">
                  <c:v>0.82526504925000332</c:v>
                </c:pt>
                <c:pt idx="17">
                  <c:v>0.83464563220266808</c:v>
                </c:pt>
                <c:pt idx="18">
                  <c:v>0.84378644972515959</c:v>
                </c:pt>
                <c:pt idx="19">
                  <c:v>0.85268527143304407</c:v>
                </c:pt>
                <c:pt idx="20">
                  <c:v>0.8613399345761209</c:v>
                </c:pt>
                <c:pt idx="21">
                  <c:v>0.86974834416638269</c:v>
                </c:pt>
                <c:pt idx="22">
                  <c:v>0.87790847309238074</c:v>
                </c:pt>
                <c:pt idx="23">
                  <c:v>0.88581836222060351</c:v>
                </c:pt>
                <c:pt idx="24">
                  <c:v>0.89347612048409719</c:v>
                </c:pt>
                <c:pt idx="25">
                  <c:v>0.90087992495894764</c:v>
                </c:pt>
                <c:pt idx="26">
                  <c:v>0.90802802092897461</c:v>
                </c:pt>
                <c:pt idx="27">
                  <c:v>0.9149187219390057</c:v>
                </c:pt>
                <c:pt idx="28">
                  <c:v>0.92155040983723968</c:v>
                </c:pt>
                <c:pt idx="29">
                  <c:v>0.92792153480702633</c:v>
                </c:pt>
                <c:pt idx="30">
                  <c:v>0.93403061538844778</c:v>
                </c:pt>
              </c:numCache>
            </c:numRef>
          </c:yVal>
          <c:smooth val="0"/>
        </c:ser>
        <c:ser>
          <c:idx val="1"/>
          <c:order val="1"/>
          <c:spPr>
            <a:ln w="14400">
              <a:solidFill>
                <a:srgbClr val="666666"/>
              </a:solidFill>
              <a:custDash>
                <a:ds d="197%" sp="197%"/>
              </a:custDash>
            </a:ln>
          </c:spPr>
          <c:marker>
            <c:symbol val="none"/>
          </c:marker>
          <c:xVal>
            <c:numRef>
              <c:f>orbit!$K$2:$K$132</c:f>
              <c:numCache>
                <c:formatCode>General</c:formatCode>
                <c:ptCount val="131"/>
                <c:pt idx="0">
                  <c:v>1</c:v>
                </c:pt>
                <c:pt idx="1">
                  <c:v>0.99862953475457383</c:v>
                </c:pt>
                <c:pt idx="2">
                  <c:v>0.99452189536827329</c:v>
                </c:pt>
                <c:pt idx="3">
                  <c:v>0.98768834059513777</c:v>
                </c:pt>
                <c:pt idx="4">
                  <c:v>0.97814760073380569</c:v>
                </c:pt>
                <c:pt idx="5">
                  <c:v>0.96592582628906831</c:v>
                </c:pt>
                <c:pt idx="6">
                  <c:v>0.95105651629515353</c:v>
                </c:pt>
                <c:pt idx="7">
                  <c:v>0.93358042649720174</c:v>
                </c:pt>
                <c:pt idx="8">
                  <c:v>0.91354545764260087</c:v>
                </c:pt>
                <c:pt idx="9">
                  <c:v>0.8910065241883679</c:v>
                </c:pt>
                <c:pt idx="10">
                  <c:v>0.86602540378443871</c:v>
                </c:pt>
                <c:pt idx="11">
                  <c:v>0.83867056794542405</c:v>
                </c:pt>
                <c:pt idx="12">
                  <c:v>0.80901699437494745</c:v>
                </c:pt>
                <c:pt idx="13">
                  <c:v>0.7771459614569709</c:v>
                </c:pt>
                <c:pt idx="14">
                  <c:v>0.74314482547739424</c:v>
                </c:pt>
                <c:pt idx="15">
                  <c:v>0.70710678118654757</c:v>
                </c:pt>
                <c:pt idx="16">
                  <c:v>0.66913060635885824</c:v>
                </c:pt>
                <c:pt idx="17">
                  <c:v>0.6293203910498375</c:v>
                </c:pt>
                <c:pt idx="18">
                  <c:v>0.58778525229247314</c:v>
                </c:pt>
                <c:pt idx="19">
                  <c:v>0.5446390350150272</c:v>
                </c:pt>
                <c:pt idx="20">
                  <c:v>0.50000000000000011</c:v>
                </c:pt>
                <c:pt idx="21">
                  <c:v>0.4539904997395468</c:v>
                </c:pt>
                <c:pt idx="22">
                  <c:v>0.40673664307580021</c:v>
                </c:pt>
                <c:pt idx="23">
                  <c:v>0.35836794954530038</c:v>
                </c:pt>
                <c:pt idx="24">
                  <c:v>0.30901699437494745</c:v>
                </c:pt>
                <c:pt idx="25">
                  <c:v>0.25881904510252074</c:v>
                </c:pt>
                <c:pt idx="26">
                  <c:v>0.20791169081775945</c:v>
                </c:pt>
                <c:pt idx="27">
                  <c:v>0.15643446504023092</c:v>
                </c:pt>
                <c:pt idx="28">
                  <c:v>0.10452846326765346</c:v>
                </c:pt>
                <c:pt idx="29">
                  <c:v>5.2335956242943966E-2</c:v>
                </c:pt>
                <c:pt idx="30">
                  <c:v>6.1257422745431001E-17</c:v>
                </c:pt>
                <c:pt idx="31">
                  <c:v>-5.233595624294362E-2</c:v>
                </c:pt>
                <c:pt idx="32">
                  <c:v>-0.10452846326765333</c:v>
                </c:pt>
                <c:pt idx="33">
                  <c:v>-0.15643446504023104</c:v>
                </c:pt>
                <c:pt idx="34">
                  <c:v>-0.20791169081775912</c:v>
                </c:pt>
                <c:pt idx="35">
                  <c:v>-0.25881904510252085</c:v>
                </c:pt>
                <c:pt idx="36">
                  <c:v>-0.30901699437494734</c:v>
                </c:pt>
                <c:pt idx="37">
                  <c:v>-0.35836794954530027</c:v>
                </c:pt>
                <c:pt idx="38">
                  <c:v>-0.40673664307580004</c:v>
                </c:pt>
                <c:pt idx="39">
                  <c:v>-0.45399049973954669</c:v>
                </c:pt>
                <c:pt idx="40">
                  <c:v>-0.49999999999999978</c:v>
                </c:pt>
                <c:pt idx="41">
                  <c:v>-0.54463903501502708</c:v>
                </c:pt>
                <c:pt idx="42">
                  <c:v>-0.58778525229247303</c:v>
                </c:pt>
                <c:pt idx="43">
                  <c:v>-0.62932039104983728</c:v>
                </c:pt>
                <c:pt idx="44">
                  <c:v>-0.66913060635885824</c:v>
                </c:pt>
                <c:pt idx="45">
                  <c:v>-0.70710678118654746</c:v>
                </c:pt>
                <c:pt idx="46">
                  <c:v>-0.74314482547739402</c:v>
                </c:pt>
                <c:pt idx="47">
                  <c:v>-0.77714596145697068</c:v>
                </c:pt>
                <c:pt idx="48">
                  <c:v>-0.80901699437494734</c:v>
                </c:pt>
                <c:pt idx="49">
                  <c:v>-0.83867056794542416</c:v>
                </c:pt>
                <c:pt idx="50">
                  <c:v>-0.86602540378443871</c:v>
                </c:pt>
                <c:pt idx="51">
                  <c:v>-0.89100652418836779</c:v>
                </c:pt>
                <c:pt idx="52">
                  <c:v>-0.91354545764260076</c:v>
                </c:pt>
                <c:pt idx="53">
                  <c:v>-0.93358042649720174</c:v>
                </c:pt>
                <c:pt idx="54">
                  <c:v>-0.95105651629515353</c:v>
                </c:pt>
                <c:pt idx="55">
                  <c:v>-0.9659258262890682</c:v>
                </c:pt>
                <c:pt idx="56">
                  <c:v>-0.97814760073380569</c:v>
                </c:pt>
                <c:pt idx="57">
                  <c:v>-0.98768834059513766</c:v>
                </c:pt>
                <c:pt idx="58">
                  <c:v>-0.99452189536827329</c:v>
                </c:pt>
                <c:pt idx="59">
                  <c:v>-0.99862953475457383</c:v>
                </c:pt>
                <c:pt idx="60">
                  <c:v>-1</c:v>
                </c:pt>
                <c:pt idx="61">
                  <c:v>-0.99862953475457383</c:v>
                </c:pt>
                <c:pt idx="62">
                  <c:v>-0.9945218953682734</c:v>
                </c:pt>
                <c:pt idx="63">
                  <c:v>-0.98768834059513777</c:v>
                </c:pt>
                <c:pt idx="64">
                  <c:v>-0.97814760073380569</c:v>
                </c:pt>
                <c:pt idx="65">
                  <c:v>-0.96592582628906842</c:v>
                </c:pt>
                <c:pt idx="66">
                  <c:v>-0.95105651629515353</c:v>
                </c:pt>
                <c:pt idx="67">
                  <c:v>-0.93358042649720174</c:v>
                </c:pt>
                <c:pt idx="68">
                  <c:v>-0.91354545764260109</c:v>
                </c:pt>
                <c:pt idx="69">
                  <c:v>-0.89100652418836812</c:v>
                </c:pt>
                <c:pt idx="70">
                  <c:v>-0.8660254037844386</c:v>
                </c:pt>
                <c:pt idx="71">
                  <c:v>-0.83867056794542405</c:v>
                </c:pt>
                <c:pt idx="72">
                  <c:v>-0.80901699437494756</c:v>
                </c:pt>
                <c:pt idx="73">
                  <c:v>-0.77714596145697079</c:v>
                </c:pt>
                <c:pt idx="74">
                  <c:v>-0.74314482547739424</c:v>
                </c:pt>
                <c:pt idx="75">
                  <c:v>-0.70710678118654768</c:v>
                </c:pt>
                <c:pt idx="76">
                  <c:v>-0.66913060635885846</c:v>
                </c:pt>
                <c:pt idx="77">
                  <c:v>-0.62932039104983717</c:v>
                </c:pt>
                <c:pt idx="78">
                  <c:v>-0.58778525229247325</c:v>
                </c:pt>
                <c:pt idx="79">
                  <c:v>-0.54463903501502697</c:v>
                </c:pt>
                <c:pt idx="80">
                  <c:v>-0.50000000000000044</c:v>
                </c:pt>
                <c:pt idx="81">
                  <c:v>-0.45399049973954692</c:v>
                </c:pt>
                <c:pt idx="82">
                  <c:v>-0.4067366430758001</c:v>
                </c:pt>
                <c:pt idx="83">
                  <c:v>-0.35836794954530071</c:v>
                </c:pt>
                <c:pt idx="84">
                  <c:v>-0.30901699437494756</c:v>
                </c:pt>
                <c:pt idx="85">
                  <c:v>-0.25881904510252063</c:v>
                </c:pt>
                <c:pt idx="86">
                  <c:v>-0.20791169081775979</c:v>
                </c:pt>
                <c:pt idx="87">
                  <c:v>-0.15643446504023104</c:v>
                </c:pt>
                <c:pt idx="88">
                  <c:v>-0.10452846326765336</c:v>
                </c:pt>
                <c:pt idx="89">
                  <c:v>-5.2335956242944306E-2</c:v>
                </c:pt>
                <c:pt idx="90">
                  <c:v>-1.83772268236293E-16</c:v>
                </c:pt>
                <c:pt idx="91">
                  <c:v>5.2335956242943946E-2</c:v>
                </c:pt>
                <c:pt idx="92">
                  <c:v>0.10452846326765299</c:v>
                </c:pt>
                <c:pt idx="93">
                  <c:v>0.15643446504023067</c:v>
                </c:pt>
                <c:pt idx="94">
                  <c:v>0.20791169081775857</c:v>
                </c:pt>
                <c:pt idx="95">
                  <c:v>0.25881904510252113</c:v>
                </c:pt>
                <c:pt idx="96">
                  <c:v>0.30901699437494723</c:v>
                </c:pt>
                <c:pt idx="97">
                  <c:v>0.35836794954529955</c:v>
                </c:pt>
                <c:pt idx="98">
                  <c:v>0.40673664307580054</c:v>
                </c:pt>
                <c:pt idx="99">
                  <c:v>0.45399049973954664</c:v>
                </c:pt>
                <c:pt idx="100">
                  <c:v>0.50000000000000011</c:v>
                </c:pt>
                <c:pt idx="101">
                  <c:v>0.54463903501502664</c:v>
                </c:pt>
                <c:pt idx="102">
                  <c:v>0.58778525229247292</c:v>
                </c:pt>
                <c:pt idx="103">
                  <c:v>0.6293203910498375</c:v>
                </c:pt>
                <c:pt idx="104">
                  <c:v>0.66913060635885779</c:v>
                </c:pt>
                <c:pt idx="105">
                  <c:v>0.70710678118654735</c:v>
                </c:pt>
                <c:pt idx="106">
                  <c:v>0.74314482547739424</c:v>
                </c:pt>
                <c:pt idx="107">
                  <c:v>0.77714596145697057</c:v>
                </c:pt>
                <c:pt idx="108">
                  <c:v>0.80901699437494734</c:v>
                </c:pt>
                <c:pt idx="109">
                  <c:v>0.83867056794542405</c:v>
                </c:pt>
                <c:pt idx="110">
                  <c:v>0.86602540378443837</c:v>
                </c:pt>
                <c:pt idx="111">
                  <c:v>0.89100652418836779</c:v>
                </c:pt>
                <c:pt idx="112">
                  <c:v>0.91354545764260098</c:v>
                </c:pt>
                <c:pt idx="113">
                  <c:v>0.93358042649720152</c:v>
                </c:pt>
                <c:pt idx="114">
                  <c:v>0.95105651629515353</c:v>
                </c:pt>
                <c:pt idx="115">
                  <c:v>0.96592582628906831</c:v>
                </c:pt>
                <c:pt idx="116">
                  <c:v>0.97814760073380558</c:v>
                </c:pt>
                <c:pt idx="117">
                  <c:v>0.98768834059513766</c:v>
                </c:pt>
                <c:pt idx="118">
                  <c:v>0.99452189536827329</c:v>
                </c:pt>
                <c:pt idx="119">
                  <c:v>0.99862953475457383</c:v>
                </c:pt>
                <c:pt idx="120">
                  <c:v>1</c:v>
                </c:pt>
              </c:numCache>
            </c:numRef>
          </c:xVal>
          <c:yVal>
            <c:numRef>
              <c:f>orbit!$L$2:$L$132</c:f>
              <c:numCache>
                <c:formatCode>General</c:formatCode>
                <c:ptCount val="131"/>
                <c:pt idx="0">
                  <c:v>0</c:v>
                </c:pt>
                <c:pt idx="1">
                  <c:v>5.2335956242943828E-2</c:v>
                </c:pt>
                <c:pt idx="2">
                  <c:v>0.10452846326765346</c:v>
                </c:pt>
                <c:pt idx="3">
                  <c:v>0.15643446504023087</c:v>
                </c:pt>
                <c:pt idx="4">
                  <c:v>0.20791169081775931</c:v>
                </c:pt>
                <c:pt idx="5">
                  <c:v>0.25881904510252074</c:v>
                </c:pt>
                <c:pt idx="6">
                  <c:v>0.3090169943749474</c:v>
                </c:pt>
                <c:pt idx="7">
                  <c:v>0.35836794954530027</c:v>
                </c:pt>
                <c:pt idx="8">
                  <c:v>0.40673664307580015</c:v>
                </c:pt>
                <c:pt idx="9">
                  <c:v>0.45399049973954675</c:v>
                </c:pt>
                <c:pt idx="10">
                  <c:v>0.49999999999999994</c:v>
                </c:pt>
                <c:pt idx="11">
                  <c:v>0.54463903501502708</c:v>
                </c:pt>
                <c:pt idx="12">
                  <c:v>0.58778525229247314</c:v>
                </c:pt>
                <c:pt idx="13">
                  <c:v>0.62932039104983739</c:v>
                </c:pt>
                <c:pt idx="14">
                  <c:v>0.66913060635885824</c:v>
                </c:pt>
                <c:pt idx="15">
                  <c:v>0.70710678118654746</c:v>
                </c:pt>
                <c:pt idx="16">
                  <c:v>0.74314482547739413</c:v>
                </c:pt>
                <c:pt idx="17">
                  <c:v>0.77714596145697079</c:v>
                </c:pt>
                <c:pt idx="18">
                  <c:v>0.80901699437494745</c:v>
                </c:pt>
                <c:pt idx="19">
                  <c:v>0.83867056794542394</c:v>
                </c:pt>
                <c:pt idx="20">
                  <c:v>0.8660254037844386</c:v>
                </c:pt>
                <c:pt idx="21">
                  <c:v>0.89100652418836779</c:v>
                </c:pt>
                <c:pt idx="22">
                  <c:v>0.91354545764260087</c:v>
                </c:pt>
                <c:pt idx="23">
                  <c:v>0.93358042649720174</c:v>
                </c:pt>
                <c:pt idx="24">
                  <c:v>0.95105651629515353</c:v>
                </c:pt>
                <c:pt idx="25">
                  <c:v>0.96592582628906831</c:v>
                </c:pt>
                <c:pt idx="26">
                  <c:v>0.97814760073380558</c:v>
                </c:pt>
                <c:pt idx="27">
                  <c:v>0.98768834059513777</c:v>
                </c:pt>
                <c:pt idx="28">
                  <c:v>0.99452189536827329</c:v>
                </c:pt>
                <c:pt idx="29">
                  <c:v>0.99862953475457383</c:v>
                </c:pt>
                <c:pt idx="30">
                  <c:v>1</c:v>
                </c:pt>
                <c:pt idx="31">
                  <c:v>0.99862953475457383</c:v>
                </c:pt>
                <c:pt idx="32">
                  <c:v>0.9945218953682734</c:v>
                </c:pt>
                <c:pt idx="33">
                  <c:v>0.98768834059513766</c:v>
                </c:pt>
                <c:pt idx="34">
                  <c:v>0.97814760073380569</c:v>
                </c:pt>
                <c:pt idx="35">
                  <c:v>0.96592582628906831</c:v>
                </c:pt>
                <c:pt idx="36">
                  <c:v>0.95105651629515364</c:v>
                </c:pt>
                <c:pt idx="37">
                  <c:v>0.93358042649720174</c:v>
                </c:pt>
                <c:pt idx="38">
                  <c:v>0.91354545764260098</c:v>
                </c:pt>
                <c:pt idx="39">
                  <c:v>0.8910065241883679</c:v>
                </c:pt>
                <c:pt idx="40">
                  <c:v>0.86602540378443871</c:v>
                </c:pt>
                <c:pt idx="41">
                  <c:v>0.83867056794542394</c:v>
                </c:pt>
                <c:pt idx="42">
                  <c:v>0.80901699437494745</c:v>
                </c:pt>
                <c:pt idx="43">
                  <c:v>0.77714596145697101</c:v>
                </c:pt>
                <c:pt idx="44">
                  <c:v>0.74314482547739424</c:v>
                </c:pt>
                <c:pt idx="45">
                  <c:v>0.70710678118654757</c:v>
                </c:pt>
                <c:pt idx="46">
                  <c:v>0.66913060635885835</c:v>
                </c:pt>
                <c:pt idx="47">
                  <c:v>0.62932039104983772</c:v>
                </c:pt>
                <c:pt idx="48">
                  <c:v>0.58778525229247325</c:v>
                </c:pt>
                <c:pt idx="49">
                  <c:v>0.54463903501502697</c:v>
                </c:pt>
                <c:pt idx="50">
                  <c:v>0.49999999999999994</c:v>
                </c:pt>
                <c:pt idx="51">
                  <c:v>0.45399049973954686</c:v>
                </c:pt>
                <c:pt idx="52">
                  <c:v>0.40673664307580043</c:v>
                </c:pt>
                <c:pt idx="53">
                  <c:v>0.35836794954530021</c:v>
                </c:pt>
                <c:pt idx="54">
                  <c:v>0.30901699437494751</c:v>
                </c:pt>
                <c:pt idx="55">
                  <c:v>0.25881904510252102</c:v>
                </c:pt>
                <c:pt idx="56">
                  <c:v>0.20791169081775931</c:v>
                </c:pt>
                <c:pt idx="57">
                  <c:v>0.15643446504023098</c:v>
                </c:pt>
                <c:pt idx="58">
                  <c:v>0.10452846326765373</c:v>
                </c:pt>
                <c:pt idx="59">
                  <c:v>5.2335956242943807E-2</c:v>
                </c:pt>
                <c:pt idx="60">
                  <c:v>1.22514845490862E-16</c:v>
                </c:pt>
                <c:pt idx="61">
                  <c:v>-5.2335956242943557E-2</c:v>
                </c:pt>
                <c:pt idx="62">
                  <c:v>-0.10452846326765305</c:v>
                </c:pt>
                <c:pt idx="63">
                  <c:v>-0.15643446504023073</c:v>
                </c:pt>
                <c:pt idx="64">
                  <c:v>-0.20791169081775907</c:v>
                </c:pt>
                <c:pt idx="65">
                  <c:v>-0.25881904510252035</c:v>
                </c:pt>
                <c:pt idx="66">
                  <c:v>-0.30901699437494773</c:v>
                </c:pt>
                <c:pt idx="67">
                  <c:v>-0.35836794954530043</c:v>
                </c:pt>
                <c:pt idx="68">
                  <c:v>-0.40673664307579982</c:v>
                </c:pt>
                <c:pt idx="69">
                  <c:v>-0.45399049973954625</c:v>
                </c:pt>
                <c:pt idx="70">
                  <c:v>-0.50000000000000011</c:v>
                </c:pt>
                <c:pt idx="71">
                  <c:v>-0.54463903501502708</c:v>
                </c:pt>
                <c:pt idx="72">
                  <c:v>-0.58778525229247303</c:v>
                </c:pt>
                <c:pt idx="73">
                  <c:v>-0.62932039104983761</c:v>
                </c:pt>
                <c:pt idx="74">
                  <c:v>-0.66913060635885824</c:v>
                </c:pt>
                <c:pt idx="75">
                  <c:v>-0.70710678118654746</c:v>
                </c:pt>
                <c:pt idx="76">
                  <c:v>-0.74314482547739402</c:v>
                </c:pt>
                <c:pt idx="77">
                  <c:v>-0.77714596145697112</c:v>
                </c:pt>
                <c:pt idx="78">
                  <c:v>-0.80901699437494734</c:v>
                </c:pt>
                <c:pt idx="79">
                  <c:v>-0.83867056794542405</c:v>
                </c:pt>
                <c:pt idx="80">
                  <c:v>-0.86602540378443837</c:v>
                </c:pt>
                <c:pt idx="81">
                  <c:v>-0.89100652418836779</c:v>
                </c:pt>
                <c:pt idx="82">
                  <c:v>-0.91354545764260098</c:v>
                </c:pt>
                <c:pt idx="83">
                  <c:v>-0.93358042649720163</c:v>
                </c:pt>
                <c:pt idx="84">
                  <c:v>-0.95105651629515353</c:v>
                </c:pt>
                <c:pt idx="85">
                  <c:v>-0.96592582628906831</c:v>
                </c:pt>
                <c:pt idx="86">
                  <c:v>-0.97814760073380558</c:v>
                </c:pt>
                <c:pt idx="87">
                  <c:v>-0.98768834059513766</c:v>
                </c:pt>
                <c:pt idx="88">
                  <c:v>-0.9945218953682734</c:v>
                </c:pt>
                <c:pt idx="89">
                  <c:v>-0.99862953475457383</c:v>
                </c:pt>
                <c:pt idx="90">
                  <c:v>-1</c:v>
                </c:pt>
                <c:pt idx="91">
                  <c:v>-0.99862953475457383</c:v>
                </c:pt>
                <c:pt idx="92">
                  <c:v>-0.9945218953682734</c:v>
                </c:pt>
                <c:pt idx="93">
                  <c:v>-0.98768834059513777</c:v>
                </c:pt>
                <c:pt idx="94">
                  <c:v>-0.9781476007338058</c:v>
                </c:pt>
                <c:pt idx="95">
                  <c:v>-0.9659258262890682</c:v>
                </c:pt>
                <c:pt idx="96">
                  <c:v>-0.95105651629515364</c:v>
                </c:pt>
                <c:pt idx="97">
                  <c:v>-0.93358042649720208</c:v>
                </c:pt>
                <c:pt idx="98">
                  <c:v>-0.91354545764260076</c:v>
                </c:pt>
                <c:pt idx="99">
                  <c:v>-0.8910065241883679</c:v>
                </c:pt>
                <c:pt idx="100">
                  <c:v>-0.8660254037844386</c:v>
                </c:pt>
                <c:pt idx="101">
                  <c:v>-0.83867056794542427</c:v>
                </c:pt>
                <c:pt idx="102">
                  <c:v>-0.80901699437494756</c:v>
                </c:pt>
                <c:pt idx="103">
                  <c:v>-0.77714596145697079</c:v>
                </c:pt>
                <c:pt idx="104">
                  <c:v>-0.74314482547739458</c:v>
                </c:pt>
                <c:pt idx="105">
                  <c:v>-0.70710678118654768</c:v>
                </c:pt>
                <c:pt idx="106">
                  <c:v>-0.66913060635885813</c:v>
                </c:pt>
                <c:pt idx="107">
                  <c:v>-0.62932039104983784</c:v>
                </c:pt>
                <c:pt idx="108">
                  <c:v>-0.58778525229247336</c:v>
                </c:pt>
                <c:pt idx="109">
                  <c:v>-0.54463903501502697</c:v>
                </c:pt>
                <c:pt idx="110">
                  <c:v>-0.50000000000000044</c:v>
                </c:pt>
                <c:pt idx="111">
                  <c:v>-0.45399049973954697</c:v>
                </c:pt>
                <c:pt idx="112">
                  <c:v>-0.40673664307580015</c:v>
                </c:pt>
                <c:pt idx="113">
                  <c:v>-0.35836794954530077</c:v>
                </c:pt>
                <c:pt idx="114">
                  <c:v>-0.30901699437494762</c:v>
                </c:pt>
                <c:pt idx="115">
                  <c:v>-0.25881904510252068</c:v>
                </c:pt>
                <c:pt idx="116">
                  <c:v>-0.20791169081775987</c:v>
                </c:pt>
                <c:pt idx="117">
                  <c:v>-0.15643446504023112</c:v>
                </c:pt>
                <c:pt idx="118">
                  <c:v>-0.10452846326765342</c:v>
                </c:pt>
                <c:pt idx="119">
                  <c:v>-5.2335956242944369E-2</c:v>
                </c:pt>
                <c:pt idx="120">
                  <c:v>-2.45029690981724E-16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38784"/>
        <c:axId val="578332576"/>
      </c:scatterChart>
      <c:valAx>
        <c:axId val="578332576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de-DE"/>
                  <a:t>90°</a:t>
                </a:r>
              </a:p>
            </c:rich>
          </c:tx>
          <c:layout>
            <c:manualLayout>
              <c:xMode val="edge"/>
              <c:yMode val="edge"/>
              <c:x val="0.44697473704700136"/>
              <c:y val="0.13367988704915928"/>
            </c:manualLayout>
          </c:layout>
          <c:overlay val="0"/>
        </c:title>
        <c:numFmt formatCode="0.00" sourceLinked="1"/>
        <c:majorTickMark val="none"/>
        <c:minorTickMark val="none"/>
        <c:tickLblPos val="none"/>
        <c:txPr>
          <a:bodyPr/>
          <a:lstStyle/>
          <a:p>
            <a:pPr>
              <a:defRPr sz="1000" b="0"/>
            </a:pPr>
            <a:endParaRPr lang="de-DE"/>
          </a:p>
        </c:txPr>
        <c:crossAx val="578238784"/>
        <c:crossesAt val="0"/>
        <c:crossBetween val="midCat"/>
        <c:majorUnit val="1"/>
      </c:valAx>
      <c:valAx>
        <c:axId val="578238784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de-DE"/>
                  <a:t>0°</a:t>
                </a:r>
              </a:p>
            </c:rich>
          </c:tx>
          <c:layout>
            <c:manualLayout>
              <c:xMode val="edge"/>
              <c:yMode val="edge"/>
              <c:x val="0.88781830695113562"/>
              <c:y val="0.45437042741624956"/>
            </c:manualLayout>
          </c:layout>
          <c:overlay val="0"/>
        </c:title>
        <c:numFmt formatCode="0.00" sourceLinked="1"/>
        <c:majorTickMark val="none"/>
        <c:minorTickMark val="none"/>
        <c:tickLblPos val="none"/>
        <c:txPr>
          <a:bodyPr/>
          <a:lstStyle/>
          <a:p>
            <a:pPr>
              <a:defRPr sz="1000" b="0"/>
            </a:pPr>
            <a:endParaRPr lang="de-DE"/>
          </a:p>
        </c:txPr>
        <c:crossAx val="578332576"/>
        <c:crossesAt val="0"/>
        <c:crossBetween val="midCat"/>
        <c:majorUnit val="1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chart" Target="../charts/chart4.xml"/><Relationship Id="rId2" Type="http://purl.oclc.org/ooxml/officeDocument/relationships/chart" Target="../charts/chart3.xml"/><Relationship Id="rId1" Type="http://purl.oclc.org/ooxml/officeDocument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purl.oclc.org/ooxml/officeDocument/relationships/chart" Target="../charts/chart7.xml"/><Relationship Id="rId1" Type="http://purl.oclc.org/ooxml/officeDocument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purl.oclc.org/ooxml/officeDocument/relationships/chart" Target="../charts/chart9.xml"/><Relationship Id="rId1" Type="http://purl.oclc.org/ooxml/officeDocument/relationships/chart" Target="../charts/chart8.xml"/></Relationships>
</file>

<file path=xl/drawings/drawing1.xml><?xml version="1.0" encoding="utf-8"?>
<xdr:wsDr xmlns:xdr="http://purl.oclc.org/ooxml/drawingml/spreadsheetDrawing" xmlns:a="http://purl.oclc.org/ooxml/drawingml/main">
  <xdr:absoluteAnchor>
    <xdr:pos x="24461640" y="2264760"/>
    <xdr:ext cx="5759280" cy="323856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04E44C-6F00-E146-B328-92DF21540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2.xml><?xml version="1.0" encoding="utf-8"?>
<xdr:wsDr xmlns:xdr="http://purl.oclc.org/ooxml/drawingml/spreadsheetDrawing" xmlns:a="http://purl.oclc.org/ooxml/drawingml/main">
  <xdr:absoluteAnchor>
    <xdr:pos x="7191000" y="84599"/>
    <xdr:ext cx="6200280" cy="402192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66C067E-36A1-E342-B663-23349F877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  <xdr:absoluteAnchor>
    <xdr:pos x="7264080" y="4423680"/>
    <xdr:ext cx="6065280" cy="395820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4C3A6D3-A677-FE4D-ADD1-D6DEDD0C4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absoluteAnchor>
  <xdr:absoluteAnchor>
    <xdr:pos x="6096960" y="9069840"/>
    <xdr:ext cx="6330960" cy="3916080"/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03B49DF-F020-6F49-8B35-6B399FA90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3"/>
        </a:graphicData>
      </a:graphic>
    </xdr:graphicFrame>
    <xdr:clientData/>
  </xdr:absoluteAnchor>
</xdr:wsDr>
</file>

<file path=xl/drawings/drawing3.xml><?xml version="1.0" encoding="utf-8"?>
<xdr:wsDr xmlns:xdr="http://purl.oclc.org/ooxml/drawingml/spreadsheetDrawing" xmlns:a="http://purl.oclc.org/ooxml/drawingml/main">
  <xdr:absoluteAnchor>
    <xdr:pos x="6150240" y="296279"/>
    <xdr:ext cx="5754240" cy="324936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7AC6A0B-99FA-D547-8914-D0C28FA5B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4.xml><?xml version="1.0" encoding="utf-8"?>
<xdr:wsDr xmlns:xdr="http://purl.oclc.org/ooxml/drawingml/spreadsheetDrawing" xmlns:a="http://purl.oclc.org/ooxml/drawingml/main">
  <xdr:absoluteAnchor>
    <xdr:pos x="6743160" y="147959"/>
    <xdr:ext cx="5752800" cy="403236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5C2F4A-0EDC-6541-8FE6-2AFADE009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  <xdr:absoluteAnchor>
    <xdr:pos x="6712200" y="4222800"/>
    <xdr:ext cx="5618160" cy="395820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9E300F6-A3AB-EE47-AB08-A96E1428C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absoluteAnchor>
</xdr:wsDr>
</file>

<file path=xl/drawings/drawing5.xml><?xml version="1.0" encoding="utf-8"?>
<xdr:wsDr xmlns:xdr="http://purl.oclc.org/ooxml/drawingml/spreadsheetDrawing" xmlns:a="http://purl.oclc.org/ooxml/drawingml/main">
  <xdr:absoluteAnchor>
    <xdr:pos x="5169240" y="317520"/>
    <xdr:ext cx="5752440" cy="43178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D489077-CC6E-5C4E-87FF-4067223AE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  <xdr:absoluteAnchor>
    <xdr:pos x="5607719" y="4614120"/>
    <xdr:ext cx="5753520" cy="560916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17DE63F-8DD6-484D-95A7-93673397B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absoluteAnchor>
</xdr:wsDr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drawing" Target="../drawings/drawing5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8"/>
  <sheetViews>
    <sheetView tabSelected="1" workbookViewId="0"/>
  </sheetViews>
  <sheetFormatPr baseColWidth="10" defaultRowHeight="15"/>
  <cols>
    <col min="1" max="2" width="14.1640625" customWidth="1"/>
    <col min="3" max="3" width="14.1640625" style="8" customWidth="1"/>
    <col min="4" max="4" width="18.83203125" customWidth="1"/>
    <col min="5" max="5" width="16.5" customWidth="1"/>
    <col min="6" max="1024" width="14.1640625" customWidth="1"/>
  </cols>
  <sheetData>
    <row r="1" spans="1:8" s="3" customFormat="1" ht="1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16">
      <c r="A2" s="4">
        <v>0</v>
      </c>
      <c r="B2" s="5">
        <v>0</v>
      </c>
      <c r="C2" s="6">
        <f>A2+B2/60</f>
        <v>0</v>
      </c>
      <c r="D2" s="4">
        <v>5</v>
      </c>
      <c r="E2" s="5">
        <v>1991</v>
      </c>
      <c r="F2" s="5">
        <v>50</v>
      </c>
      <c r="G2" s="7">
        <v>10</v>
      </c>
    </row>
    <row r="3" spans="1:8" ht="16">
      <c r="E3" s="9" t="str">
        <f>calc!$G$9</f>
        <v>common year</v>
      </c>
    </row>
    <row r="5" spans="1:8" ht="16">
      <c r="D5" s="10" t="s">
        <v>7</v>
      </c>
    </row>
    <row r="6" spans="1:8" ht="16">
      <c r="D6" s="10" t="s">
        <v>8</v>
      </c>
    </row>
    <row r="7" spans="1:8" ht="16">
      <c r="D7" s="10" t="s">
        <v>9</v>
      </c>
    </row>
    <row r="8" spans="1:8" ht="16">
      <c r="D8" s="11" t="d">
        <v>2019-09-04</v>
      </c>
    </row>
  </sheetData>
  <pageMargins left="0" right="0" top="0.39370078740157477" bottom="0.39370078740157477" header="0" footer="0"/>
  <headerFooter>
    <oddHeader>&amp;C&amp;A</oddHeader>
    <oddFooter>&amp;CSeite &amp;P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F51"/>
  <sheetViews>
    <sheetView workbookViewId="0"/>
  </sheetViews>
  <sheetFormatPr baseColWidth="10" defaultRowHeight="15"/>
  <cols>
    <col min="1" max="1" width="8.5" style="16" customWidth="1"/>
    <col min="2" max="2" width="10" style="16" customWidth="1"/>
    <col min="3" max="3" width="10.5" style="23" customWidth="1"/>
    <col min="4" max="4" width="11.1640625" style="33" customWidth="1"/>
    <col min="5" max="5" width="11.1640625" style="16" customWidth="1"/>
    <col min="6" max="6" width="8.83203125" customWidth="1"/>
    <col min="7" max="7" width="18" customWidth="1"/>
    <col min="8" max="8" width="16.6640625" style="16" customWidth="1"/>
    <col min="9" max="9" width="11" style="34" customWidth="1"/>
    <col min="10" max="10" width="11.83203125" style="31" customWidth="1"/>
    <col min="11" max="11" width="13.83203125" style="31" customWidth="1"/>
    <col min="12" max="12" width="8.33203125" style="13" customWidth="1"/>
    <col min="13" max="13" width="17.5" style="8" customWidth="1"/>
    <col min="14" max="14" width="15.1640625" style="35" customWidth="1"/>
    <col min="15" max="16" width="11.6640625" style="23" customWidth="1"/>
    <col min="17" max="18" width="11.1640625" style="23" customWidth="1"/>
    <col min="19" max="19" width="10.33203125" style="24" customWidth="1"/>
    <col min="20" max="20" width="9.5" style="16" customWidth="1"/>
    <col min="21" max="21" width="8.5" style="16" customWidth="1"/>
    <col min="22" max="22" width="9.1640625" style="24" customWidth="1"/>
    <col min="23" max="23" width="10.6640625" style="23" customWidth="1"/>
    <col min="24" max="25" width="11" style="23" customWidth="1"/>
    <col min="26" max="26" width="14.1640625" style="23" customWidth="1"/>
    <col min="27" max="27" width="12.1640625" style="24" customWidth="1"/>
    <col min="28" max="28" width="9.1640625" customWidth="1"/>
    <col min="29" max="29" width="11.83203125" style="18" customWidth="1"/>
    <col min="30" max="31" width="9.6640625" style="18" customWidth="1"/>
    <col min="32" max="32" width="8.33203125" customWidth="1"/>
    <col min="33" max="33" width="16.5" style="19" customWidth="1"/>
    <col min="34" max="34" width="27" customWidth="1"/>
    <col min="35" max="35" width="18.1640625" customWidth="1"/>
    <col min="36" max="36" width="13.83203125" customWidth="1"/>
    <col min="37" max="37" width="10.1640625" customWidth="1"/>
    <col min="38" max="38" width="8.83203125" customWidth="1"/>
    <col min="39" max="39" width="12.5" customWidth="1"/>
    <col min="40" max="40" width="10.6640625" customWidth="1"/>
    <col min="41" max="41" width="11.6640625" customWidth="1"/>
    <col min="42" max="42" width="11.5" customWidth="1"/>
    <col min="43" max="43" width="9.6640625" customWidth="1"/>
    <col min="44" max="44" width="10.5" customWidth="1"/>
    <col min="45" max="45" width="11.5" customWidth="1"/>
    <col min="46" max="46" width="9.6640625" customWidth="1"/>
    <col min="47" max="47" width="10.5" customWidth="1"/>
    <col min="48" max="48" width="11.1640625" customWidth="1"/>
    <col min="49" max="49" width="11.5" customWidth="1"/>
    <col min="50" max="50" width="11.1640625" style="23" customWidth="1"/>
    <col min="51" max="51" width="16.1640625" customWidth="1"/>
    <col min="52" max="52" width="20.6640625" customWidth="1"/>
    <col min="53" max="53" width="21" customWidth="1"/>
    <col min="54" max="54" width="17.6640625" customWidth="1"/>
    <col min="55" max="56" width="16.5" customWidth="1"/>
    <col min="57" max="57" width="14.1640625" customWidth="1"/>
    <col min="58" max="58" width="52.1640625" customWidth="1"/>
    <col min="59" max="1024" width="14.1640625" customWidth="1"/>
  </cols>
  <sheetData>
    <row r="1" spans="1:58" s="10" customFormat="1" ht="16">
      <c r="A1" s="1" t="s">
        <v>0</v>
      </c>
      <c r="B1" s="1" t="s">
        <v>1</v>
      </c>
      <c r="C1" s="2" t="s">
        <v>2</v>
      </c>
      <c r="D1" s="10" t="s">
        <v>10</v>
      </c>
      <c r="E1" s="1" t="s">
        <v>3</v>
      </c>
      <c r="F1" s="1" t="s">
        <v>4</v>
      </c>
      <c r="G1" s="1" t="s">
        <v>5</v>
      </c>
      <c r="H1" s="12" t="s">
        <v>11</v>
      </c>
      <c r="I1" s="13" t="s">
        <v>12</v>
      </c>
      <c r="J1" s="13" t="s">
        <v>13</v>
      </c>
      <c r="K1" s="13" t="s">
        <v>14</v>
      </c>
      <c r="L1" s="13" t="s">
        <v>15</v>
      </c>
      <c r="M1" s="2" t="s">
        <v>16</v>
      </c>
      <c r="N1" s="14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15" t="s">
        <v>22</v>
      </c>
      <c r="T1" s="10" t="s">
        <v>23</v>
      </c>
      <c r="U1" s="10" t="s">
        <v>24</v>
      </c>
      <c r="V1" s="15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15" t="s">
        <v>30</v>
      </c>
      <c r="AB1" s="16" t="s">
        <v>31</v>
      </c>
      <c r="AC1" s="17">
        <v>1</v>
      </c>
      <c r="AD1" s="17">
        <v>2</v>
      </c>
      <c r="AE1" s="18"/>
      <c r="AF1" t="s">
        <v>32</v>
      </c>
      <c r="AG1" s="19" t="s">
        <v>33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</row>
    <row r="2" spans="1:58" s="1" customFormat="1" ht="16">
      <c r="A2" s="7">
        <f>input!$A$2</f>
        <v>0</v>
      </c>
      <c r="B2" s="7">
        <f>input!$B$2</f>
        <v>0</v>
      </c>
      <c r="C2" s="6">
        <f>A2+B2/60</f>
        <v>0</v>
      </c>
      <c r="D2" s="12">
        <v>1</v>
      </c>
      <c r="E2" s="20">
        <f>input!$D$2</f>
        <v>5</v>
      </c>
      <c r="F2" s="20">
        <f>input!$E$2</f>
        <v>1991</v>
      </c>
      <c r="G2" s="20">
        <f>input!$F$2</f>
        <v>50</v>
      </c>
      <c r="H2" s="16">
        <f>M2 - (INT(365.25*(F2-1+4716))+INT(30.6001*14)+1+C2/24+2-INT((F2-1)/100)+INT(INT((F2-1)/100)/4)-1524.5) +1</f>
        <v>121</v>
      </c>
      <c r="I2" s="13">
        <f t="shared" ref="I2:I32" si="0">ASIN(AA2)/$G$6</f>
        <v>-24.460029930727337</v>
      </c>
      <c r="J2" s="21">
        <f>I2+1.02/(60*TAN($G$6*(I2+10.3/(I2+5.11))))</f>
        <v>-24.496499295582442</v>
      </c>
      <c r="K2" s="21">
        <f t="shared" ref="K2:K32" si="1">IF(Z2&gt;180,AE2-180,AE2+180)</f>
        <v>11.36511242316098</v>
      </c>
      <c r="L2" s="13">
        <f t="shared" ref="L2:L32" si="2">IF(ABS(4*(P2-0.0057183-X2))&lt;20,4*(P2-0.0057183-X2),4*(P2-0.0057183-X2-360))</f>
        <v>2.7803160632057882</v>
      </c>
      <c r="M2" s="6">
        <f>INT(365.25*IF($E$2&gt;2,$F$2+4716,$F$2-1+4716))+INT(30.6001*IF($E$2&gt;2,$E$2+1,$E$2+12+1))+D2+$C$2/24+2-INT(IF($E$2&gt;2,$F$2,$F$2-1)/100)+INT(INT(IF($E$2&gt;2,$F$2,$F$2-1)/100)/4)-1524.5</f>
        <v>2448377.5</v>
      </c>
      <c r="N2" s="22">
        <f t="shared" ref="N2:N32" si="3">(M2-2451545)/36525</f>
        <v>-8.6721423682409315E-2</v>
      </c>
      <c r="O2" s="23">
        <f t="shared" ref="O2:O32" si="4">MOD(357.5291 + 35999.0503*N2 - 0.0001559*N2^2 - 0.00000048*N2^3,360)</f>
        <v>115.6402055971862</v>
      </c>
      <c r="P2" s="23">
        <f t="shared" ref="P2:P32" si="5">MOD(280.46645 + 36000.76983*N2 + 0.0003032*N2^2,360)</f>
        <v>38.428438959918822</v>
      </c>
      <c r="Q2" s="23">
        <f t="shared" ref="Q2:Q32" si="6" xml:space="preserve"> MOD((1.9146 - 0.004817*N2 - 0.000014*N2^2)*SIN(O2*$G$6) + (0.019993 - 0.000101*N2)*SIN(2*O2*$G$6) + 0.00029*SIN(3*O2*$G$6),360)</f>
        <v>1.7107727928177361</v>
      </c>
      <c r="R2" s="23">
        <f t="shared" ref="R2:R32" si="7">MOD(P2+Q2,360)</f>
        <v>40.139211752736557</v>
      </c>
      <c r="S2" s="24">
        <f t="shared" ref="S2:S32" si="8">COS(R2*$G$6)</f>
        <v>0.76448040023263542</v>
      </c>
      <c r="T2" s="16">
        <f t="shared" ref="T2:T32" si="9">COS((23.4393-46.815*N2/3600)*$G$6)*SIN(R2*$G$6)</f>
        <v>0.5914469455032515</v>
      </c>
      <c r="U2" s="16">
        <f t="shared" ref="U2:U32" si="10">SIN((23.4393-46.815*N2/3600)*$G$6)*SIN(R2*$G$6)</f>
        <v>0.25643757196445194</v>
      </c>
      <c r="V2" s="24">
        <f t="shared" ref="V2:V32" si="11">SQRT(1-U2^2)</f>
        <v>0.96656079564866304</v>
      </c>
      <c r="W2" s="23">
        <f t="shared" ref="W2:W32" si="12">ATAN(U2/V2)/$G$6</f>
        <v>14.858784749955143</v>
      </c>
      <c r="X2" s="23">
        <f t="shared" ref="X2:X32" si="13">IF(2*ATAN(T2/(COS(R2*$G$6)+V2))/$G$6&gt;0, 2*ATAN(T2/(COS(R2*$G$6)+V2))/$G$6, 2*ATAN(T2/(COS(R2*$G$6)+V2))/$G$6+360)</f>
        <v>37.727641644117377</v>
      </c>
      <c r="Y2" s="23">
        <f t="shared" ref="Y2:Y32" si="14" xml:space="preserve"> MOD(280.46061837 + 360.98564736629*(M2-2451545) + 0.000387933*N2^2 - N2^3/3871000010,360) + $G$4</f>
        <v>228.42258856398985</v>
      </c>
      <c r="Z2" s="23">
        <f t="shared" ref="Z2:Z32" si="15">IF(Y2-X2&gt;0,Y2-X2,Y2-X2+360)</f>
        <v>190.69494691987248</v>
      </c>
      <c r="AA2" s="24">
        <f t="shared" ref="AA2:AA32" si="16">SIN($G$2*$G$6)*SIN(W2*$G$6) +COS($G$2*$G$6)* COS(W2*$G$6)*COS(Z2*$G$6)</f>
        <v>-0.41405834434541788</v>
      </c>
      <c r="AB2" s="16">
        <f t="shared" ref="AB2:AB32" si="17">IF(H2&lt;32,1,INT(9*(IF($G$9="common year",2,1)+H2)/275+0.98))</f>
        <v>5</v>
      </c>
      <c r="AC2" s="25">
        <f t="shared" ref="AC2:AC32" si="18">SIN($G$6*Z2)</f>
        <v>-0.18557995520568621</v>
      </c>
      <c r="AD2" s="25">
        <f t="shared" ref="AD2:AD32" si="19">COS($G$6*Z2)*SIN($G$6*$G$2) - TAN($G$6*W2)*COS($G$6*$G$2)</f>
        <v>-0.92327514652163933</v>
      </c>
      <c r="AE2" s="25">
        <f t="shared" ref="AE2:AE32" si="20">IF(OR(AND(AC2*AD2&gt;0), AND(AC2&lt;0,AD2&gt;0)), MOD(ATAN2(AD2,AC2)/$G$6+360,360),  ATAN2(AD2,AC2)/$G$6)</f>
        <v>191.36511242316098</v>
      </c>
      <c r="AF2" s="16">
        <v>1</v>
      </c>
      <c r="AG2" s="19">
        <f t="shared" ref="AG2:AG32" si="21">(100013989+1670700*COS(3.0984635 + 6283.07585*N2/10)+13956*COS(3.05525 + 12566.1517*N2/10)+3084*COS(5.1985 + 77713.7715*N2/10) +1628*COS(1.1739 + 5753.3849*N2/10)+1576*COS(2.8469 + 7860.4194*N2/10)+925*COS(5.453 + 11506.77*N2/10)+542*COS(4.564 + 3930.21*N2/10)+472*COS(3.661 + 5884.927*N2/10)+346*COS(0.964 + 5507.553*N2/10)+329*COS(5.9 + 5223.694*N2/10)+307*COS(0.299 + 5573.143*N2/10)+243*COS(4.273 + 11790.629*N2/10)+212*COS(5.847 + 1577.344*N2/10)+186*COS(5.022 + 10977.079*N2/10)+175*COS(3.012 + 18849.228*N2/10)+110*COS(5.055 + 5486.778*N2/10)+98*COS(0.89 + 6069.78*N2/10)+86*COS(5.69 + 15720.84*N2/10)+86*COS(1.27 + 161000.69*N2/10)+65*COS(0.27 + 17260.15*N2/10)+63*COS(0.92 + 529.69*N2/10)+57*COS(2.01 + 83996.85*N2/10)+56*COS(5.24 + 71430.7*N2/10)+49*COS(3.25 + 2544.31*N2/10)+47*COS(2.58 + 775.52*N2/10)+45*COS(5.54 + 9437.76*N2/10)+43*COS(6.01 + 6275.96*N2/10)+39*COS(5.36 + 4694*N2/10)+38*COS(2.39 + 8827.39*N2/10)+37*COS(0.83 + 19651.05*N2/10)+37*COS(4.9 + 12139.55*N2/10)+36*COS(1.67 + 12036.46*N2/10)+35*COS(1.84 + 2942.46*N2/10)+33*COS(0.24 + 7084.9*N2/10)+32*COS(0.18 + 5088.63*N2/10)+32*COS(1.78 + 398.15*N2/10)+28*COS(1.21 + 6286.6*N2/10)+28*COS(1.9 + 6279.55*N2/10)+26*COS(4.59 + 10447.39*N2/10) +24.6*COS(3.787 + 8429.241*N2/10)+23.6*COS(0.269 + 796.3*N2/10)+27.8*COS(1.899 + 6279.55*N2/10)+23.9*COS(4.996 + 5856.48*N2/10))/100000000 + (103019*COS(1.10749 + 6283.07585*N2/10) +1721*COS(1.0644 + 12566.1517*N2/10) +702*COS(3.142 + 0*N2/10) +32*COS(1.02 + 18849.23*N2/10) +31*COS(2.84 + 5507.55*N2/10) +25*COS(1.32 + 5223.69*N2/10) +18*COS(1.42 + 1577.34*N2/10) +10*COS(5.91 + 10977.08*N2/10) +9*COS(1.42 + 6275.96*N2/10) +9*COS(0.27 + 5486.78*N2/10))*N2/1000000000  + (4359*COS(5.7846 + 6283.0758*N2/10)*N2^2+124*COS(5.579 + 12566.152*N2/10)*N2^2)/10000000000</f>
        <v>1.0074116267551907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1:58" ht="16">
      <c r="A3"/>
      <c r="B3"/>
      <c r="C3"/>
      <c r="D3" s="12">
        <v>2</v>
      </c>
      <c r="E3" s="16">
        <f t="shared" ref="E3:E29" si="22">E2</f>
        <v>5</v>
      </c>
      <c r="G3" s="1" t="s">
        <v>6</v>
      </c>
      <c r="H3" s="16">
        <f t="shared" ref="H3:H32" si="23">H2+1</f>
        <v>122</v>
      </c>
      <c r="I3" s="13">
        <f t="shared" si="0"/>
        <v>-24.155288322942901</v>
      </c>
      <c r="J3" s="21">
        <f t="shared" ref="J3:J32" si="24">I3+1.02/(TAN($G$6*(I3+10.3/(I3+5.11)))*60)</f>
        <v>-24.19225559409422</v>
      </c>
      <c r="K3" s="21">
        <f t="shared" si="1"/>
        <v>11.354022442949002</v>
      </c>
      <c r="L3" s="13">
        <f t="shared" si="2"/>
        <v>2.9042483922252131</v>
      </c>
      <c r="M3" s="6">
        <f t="shared" ref="M3:M32" si="25">M2+1</f>
        <v>2448378.5</v>
      </c>
      <c r="N3" s="22">
        <f t="shared" si="3"/>
        <v>-8.6694045174537993E-2</v>
      </c>
      <c r="O3" s="23">
        <f t="shared" si="4"/>
        <v>116.62580587992534</v>
      </c>
      <c r="P3" s="23">
        <f t="shared" si="5"/>
        <v>39.414086318643967</v>
      </c>
      <c r="Q3" s="23">
        <f t="shared" si="6"/>
        <v>1.6958568478947398</v>
      </c>
      <c r="R3" s="23">
        <f t="shared" si="7"/>
        <v>41.109943166538706</v>
      </c>
      <c r="S3" s="24">
        <f t="shared" si="8"/>
        <v>0.75344929940117256</v>
      </c>
      <c r="T3" s="16">
        <f t="shared" si="9"/>
        <v>0.60324478299093764</v>
      </c>
      <c r="U3" s="16">
        <f t="shared" si="10"/>
        <v>0.26155283410068175</v>
      </c>
      <c r="V3" s="24">
        <f t="shared" si="11"/>
        <v>0.96518916020327394</v>
      </c>
      <c r="W3" s="23">
        <f t="shared" si="12"/>
        <v>15.162221792212186</v>
      </c>
      <c r="X3" s="23">
        <f t="shared" si="13"/>
        <v>38.682305920587666</v>
      </c>
      <c r="Y3" s="23">
        <f t="shared" si="14"/>
        <v>229.40823592850938</v>
      </c>
      <c r="Z3" s="23">
        <f t="shared" si="15"/>
        <v>190.7259300079217</v>
      </c>
      <c r="AA3" s="24">
        <f t="shared" si="16"/>
        <v>-0.40921112159100925</v>
      </c>
      <c r="AB3" s="16">
        <f t="shared" si="17"/>
        <v>5</v>
      </c>
      <c r="AC3" s="25">
        <f t="shared" si="18"/>
        <v>-0.18611129154754463</v>
      </c>
      <c r="AD3" s="25">
        <f t="shared" si="19"/>
        <v>-0.92684712713773809</v>
      </c>
      <c r="AE3" s="25">
        <f t="shared" si="20"/>
        <v>191.354022442949</v>
      </c>
      <c r="AF3" s="16">
        <v>2</v>
      </c>
      <c r="AG3" s="19">
        <f t="shared" si="21"/>
        <v>1.0076687572427472</v>
      </c>
      <c r="AX3"/>
    </row>
    <row r="4" spans="1:58" ht="16">
      <c r="A4"/>
      <c r="B4"/>
      <c r="C4"/>
      <c r="D4" s="12">
        <v>3</v>
      </c>
      <c r="E4" s="16">
        <f t="shared" si="22"/>
        <v>5</v>
      </c>
      <c r="G4" s="20">
        <f>input!$G$2</f>
        <v>10</v>
      </c>
      <c r="H4" s="16">
        <f t="shared" si="23"/>
        <v>123</v>
      </c>
      <c r="I4" s="13">
        <f t="shared" si="0"/>
        <v>-23.8549769468239</v>
      </c>
      <c r="J4" s="21">
        <f t="shared" si="24"/>
        <v>-23.892445490236167</v>
      </c>
      <c r="K4" s="21">
        <f t="shared" si="1"/>
        <v>11.341145898373441</v>
      </c>
      <c r="L4" s="13">
        <f t="shared" si="2"/>
        <v>3.0192035027076543</v>
      </c>
      <c r="M4" s="6">
        <f t="shared" si="25"/>
        <v>2448379.5</v>
      </c>
      <c r="N4" s="22">
        <f t="shared" si="3"/>
        <v>-8.666666666666667E-2</v>
      </c>
      <c r="O4" s="23">
        <f t="shared" si="4"/>
        <v>117.61140616266357</v>
      </c>
      <c r="P4" s="23">
        <f t="shared" si="5"/>
        <v>40.399733677368658</v>
      </c>
      <c r="Q4" s="23">
        <f t="shared" si="6"/>
        <v>1.6804534465229712</v>
      </c>
      <c r="R4" s="23">
        <f t="shared" si="7"/>
        <v>42.080187123891626</v>
      </c>
      <c r="S4" s="24">
        <f t="shared" si="8"/>
        <v>0.74220763008195434</v>
      </c>
      <c r="T4" s="16">
        <f t="shared" si="9"/>
        <v>0.61486367175845658</v>
      </c>
      <c r="U4" s="16">
        <f t="shared" si="10"/>
        <v>0.26659050808278534</v>
      </c>
      <c r="V4" s="24">
        <f t="shared" si="11"/>
        <v>0.96380988841169413</v>
      </c>
      <c r="W4" s="23">
        <f t="shared" si="12"/>
        <v>15.461482490925825</v>
      </c>
      <c r="X4" s="23">
        <f t="shared" si="13"/>
        <v>39.639214501691747</v>
      </c>
      <c r="Y4" s="23">
        <f t="shared" si="14"/>
        <v>230.39388329302892</v>
      </c>
      <c r="Z4" s="23">
        <f t="shared" si="15"/>
        <v>190.75466879133717</v>
      </c>
      <c r="AA4" s="24">
        <f t="shared" si="16"/>
        <v>-0.40442304053899736</v>
      </c>
      <c r="AB4" s="16">
        <f t="shared" si="17"/>
        <v>5</v>
      </c>
      <c r="AC4" s="25">
        <f t="shared" si="18"/>
        <v>-0.18660409112726845</v>
      </c>
      <c r="AD4" s="25">
        <f t="shared" si="19"/>
        <v>-0.93038453714888902</v>
      </c>
      <c r="AE4" s="25">
        <f t="shared" si="20"/>
        <v>191.34114589837344</v>
      </c>
      <c r="AF4" s="16">
        <v>3</v>
      </c>
      <c r="AG4" s="19">
        <f t="shared" si="21"/>
        <v>1.0079245810823114</v>
      </c>
      <c r="AX4"/>
    </row>
    <row r="5" spans="1:58" ht="16">
      <c r="A5"/>
      <c r="B5"/>
      <c r="C5"/>
      <c r="D5" s="12">
        <v>4</v>
      </c>
      <c r="E5" s="16">
        <f t="shared" si="22"/>
        <v>5</v>
      </c>
      <c r="H5" s="16">
        <f t="shared" si="23"/>
        <v>124</v>
      </c>
      <c r="I5" s="13">
        <f t="shared" si="0"/>
        <v>-23.559185132953253</v>
      </c>
      <c r="J5" s="21">
        <f t="shared" si="24"/>
        <v>-23.597158032367201</v>
      </c>
      <c r="K5" s="21">
        <f t="shared" si="1"/>
        <v>11.326487517682295</v>
      </c>
      <c r="L5" s="13">
        <f t="shared" si="2"/>
        <v>3.1250716913373253</v>
      </c>
      <c r="M5" s="6">
        <f t="shared" si="25"/>
        <v>2448380.5</v>
      </c>
      <c r="N5" s="22">
        <f t="shared" si="3"/>
        <v>-8.6639288158795347E-2</v>
      </c>
      <c r="O5" s="23">
        <f t="shared" si="4"/>
        <v>118.59700644540135</v>
      </c>
      <c r="P5" s="23">
        <f t="shared" si="5"/>
        <v>41.385381036094714</v>
      </c>
      <c r="Q5" s="23">
        <f t="shared" si="6"/>
        <v>1.6645674685793599</v>
      </c>
      <c r="R5" s="23">
        <f t="shared" si="7"/>
        <v>43.04994850467407</v>
      </c>
      <c r="S5" s="24">
        <f t="shared" si="8"/>
        <v>0.73075888090003494</v>
      </c>
      <c r="T5" s="16">
        <f t="shared" si="9"/>
        <v>0.6263006003871544</v>
      </c>
      <c r="U5" s="16">
        <f t="shared" si="10"/>
        <v>0.2715492882340485</v>
      </c>
      <c r="V5" s="24">
        <f t="shared" si="11"/>
        <v>0.96242453421532315</v>
      </c>
      <c r="W5" s="23">
        <f t="shared" si="12"/>
        <v>15.75647934409171</v>
      </c>
      <c r="X5" s="23">
        <f t="shared" si="13"/>
        <v>40.598394813260384</v>
      </c>
      <c r="Y5" s="23">
        <f t="shared" si="14"/>
        <v>231.37953065731563</v>
      </c>
      <c r="Z5" s="23">
        <f t="shared" si="15"/>
        <v>190.78113584405526</v>
      </c>
      <c r="AA5" s="24">
        <f t="shared" si="16"/>
        <v>-0.39969615654879509</v>
      </c>
      <c r="AB5" s="16">
        <f t="shared" si="17"/>
        <v>5</v>
      </c>
      <c r="AC5" s="25">
        <f t="shared" si="18"/>
        <v>-0.18705789457812477</v>
      </c>
      <c r="AD5" s="25">
        <f t="shared" si="19"/>
        <v>-0.9338862387985758</v>
      </c>
      <c r="AE5" s="25">
        <f t="shared" si="20"/>
        <v>191.3264875176823</v>
      </c>
      <c r="AF5" s="16">
        <v>4</v>
      </c>
      <c r="AG5" s="19">
        <f t="shared" si="21"/>
        <v>1.0081788756574523</v>
      </c>
      <c r="AX5"/>
    </row>
    <row r="6" spans="1:58" ht="16">
      <c r="A6"/>
      <c r="B6"/>
      <c r="C6"/>
      <c r="D6" s="12">
        <v>5</v>
      </c>
      <c r="E6" s="16">
        <f t="shared" si="22"/>
        <v>5</v>
      </c>
      <c r="G6" s="26">
        <f>PI()/180</f>
        <v>1.7453292519943295E-2</v>
      </c>
      <c r="H6" s="16">
        <f t="shared" si="23"/>
        <v>125</v>
      </c>
      <c r="I6" s="13">
        <f t="shared" si="0"/>
        <v>-23.26800118271084</v>
      </c>
      <c r="J6" s="21">
        <f t="shared" si="24"/>
        <v>-23.306481217838119</v>
      </c>
      <c r="K6" s="21">
        <f t="shared" si="1"/>
        <v>11.310054454824495</v>
      </c>
      <c r="L6" s="13">
        <f t="shared" si="2"/>
        <v>3.2217542347542576</v>
      </c>
      <c r="M6" s="6">
        <f t="shared" si="25"/>
        <v>2448381.5</v>
      </c>
      <c r="N6" s="22">
        <f t="shared" si="3"/>
        <v>-8.6611909650924024E-2</v>
      </c>
      <c r="O6" s="23">
        <f t="shared" si="4"/>
        <v>119.58260672813958</v>
      </c>
      <c r="P6" s="23">
        <f t="shared" si="5"/>
        <v>42.371028394820769</v>
      </c>
      <c r="Q6" s="23">
        <f t="shared" si="6"/>
        <v>1.6482039192479749</v>
      </c>
      <c r="R6" s="23">
        <f t="shared" si="7"/>
        <v>44.019232314068745</v>
      </c>
      <c r="S6" s="24">
        <f t="shared" si="8"/>
        <v>0.71910658578568865</v>
      </c>
      <c r="T6" s="16">
        <f t="shared" si="9"/>
        <v>0.6375526155947483</v>
      </c>
      <c r="U6" s="16">
        <f t="shared" si="10"/>
        <v>0.27642789408441604</v>
      </c>
      <c r="V6" s="24">
        <f t="shared" si="11"/>
        <v>0.96103466085883438</v>
      </c>
      <c r="W6" s="23">
        <f t="shared" si="12"/>
        <v>16.047125411805467</v>
      </c>
      <c r="X6" s="23">
        <f t="shared" si="13"/>
        <v>41.559871536132206</v>
      </c>
      <c r="Y6" s="23">
        <f t="shared" si="14"/>
        <v>232.36517802183516</v>
      </c>
      <c r="Z6" s="23">
        <f t="shared" si="15"/>
        <v>190.80530648570294</v>
      </c>
      <c r="AA6" s="24">
        <f t="shared" si="16"/>
        <v>-0.39503250263459888</v>
      </c>
      <c r="AB6" s="16">
        <f t="shared" si="17"/>
        <v>5</v>
      </c>
      <c r="AC6" s="25">
        <f t="shared" si="18"/>
        <v>-0.18747228895143644</v>
      </c>
      <c r="AD6" s="25">
        <f t="shared" si="19"/>
        <v>-0.93735106768907595</v>
      </c>
      <c r="AE6" s="25">
        <f t="shared" si="20"/>
        <v>191.3100544548245</v>
      </c>
      <c r="AF6" s="16">
        <v>5</v>
      </c>
      <c r="AG6" s="19">
        <f t="shared" si="21"/>
        <v>1.0084313973263566</v>
      </c>
      <c r="AX6"/>
    </row>
    <row r="7" spans="1:58" ht="16">
      <c r="A7"/>
      <c r="B7"/>
      <c r="C7"/>
      <c r="D7" s="12">
        <v>6</v>
      </c>
      <c r="E7" s="16">
        <f t="shared" si="22"/>
        <v>5</v>
      </c>
      <c r="G7" s="16" t="s">
        <v>34</v>
      </c>
      <c r="H7" s="16">
        <f t="shared" si="23"/>
        <v>126</v>
      </c>
      <c r="I7" s="13">
        <f t="shared" si="0"/>
        <v>-22.981512327516349</v>
      </c>
      <c r="J7" s="21">
        <f t="shared" si="24"/>
        <v>-23.020501951659966</v>
      </c>
      <c r="K7" s="21">
        <f t="shared" si="1"/>
        <v>11.291856277101147</v>
      </c>
      <c r="L7" s="13">
        <f t="shared" si="2"/>
        <v>3.309163637395244</v>
      </c>
      <c r="M7" s="6">
        <f t="shared" si="25"/>
        <v>2448382.5</v>
      </c>
      <c r="N7" s="22">
        <f t="shared" si="3"/>
        <v>-8.6584531143052701E-2</v>
      </c>
      <c r="O7" s="23">
        <f t="shared" si="4"/>
        <v>120.5682070108769</v>
      </c>
      <c r="P7" s="23">
        <f t="shared" si="5"/>
        <v>43.356675753547279</v>
      </c>
      <c r="Q7" s="23">
        <f t="shared" si="6"/>
        <v>1.6313679272308188</v>
      </c>
      <c r="R7" s="23">
        <f t="shared" si="7"/>
        <v>44.988043680778098</v>
      </c>
      <c r="S7" s="24">
        <f t="shared" si="8"/>
        <v>0.70725432280812794</v>
      </c>
      <c r="T7" s="16">
        <f t="shared" si="9"/>
        <v>0.64861682261017362</v>
      </c>
      <c r="U7" s="16">
        <f t="shared" si="10"/>
        <v>0.28122507053301438</v>
      </c>
      <c r="V7" s="24">
        <f t="shared" si="11"/>
        <v>0.95964183928364699</v>
      </c>
      <c r="W7" s="23">
        <f t="shared" si="12"/>
        <v>16.333334351750892</v>
      </c>
      <c r="X7" s="23">
        <f t="shared" si="13"/>
        <v>42.52366654419847</v>
      </c>
      <c r="Y7" s="23">
        <f t="shared" si="14"/>
        <v>233.35082538612187</v>
      </c>
      <c r="Z7" s="23">
        <f t="shared" si="15"/>
        <v>190.82715884192339</v>
      </c>
      <c r="AA7" s="24">
        <f t="shared" si="16"/>
        <v>-0.39043408815681996</v>
      </c>
      <c r="AB7" s="16">
        <f t="shared" si="17"/>
        <v>5</v>
      </c>
      <c r="AC7" s="25">
        <f t="shared" si="18"/>
        <v>-0.18784690868808229</v>
      </c>
      <c r="AD7" s="25">
        <f t="shared" si="19"/>
        <v>-0.94077783315989427</v>
      </c>
      <c r="AE7" s="25">
        <f t="shared" si="20"/>
        <v>191.29185627710115</v>
      </c>
      <c r="AF7" s="16">
        <v>6</v>
      </c>
      <c r="AG7" s="19">
        <f t="shared" si="21"/>
        <v>1.0086818803423352</v>
      </c>
      <c r="AX7"/>
    </row>
    <row r="8" spans="1:58" ht="16">
      <c r="A8"/>
      <c r="B8"/>
      <c r="C8"/>
      <c r="D8" s="12">
        <v>7</v>
      </c>
      <c r="E8" s="16">
        <f t="shared" si="22"/>
        <v>5</v>
      </c>
      <c r="H8" s="16">
        <f t="shared" si="23"/>
        <v>127</v>
      </c>
      <c r="I8" s="13">
        <f t="shared" si="0"/>
        <v>-22.699804686871456</v>
      </c>
      <c r="J8" s="21">
        <f t="shared" si="24"/>
        <v>-22.739306004037864</v>
      </c>
      <c r="K8" s="21">
        <f t="shared" si="1"/>
        <v>11.271904955497462</v>
      </c>
      <c r="L8" s="13">
        <f t="shared" si="2"/>
        <v>3.3872238724910915</v>
      </c>
      <c r="M8" s="6">
        <f t="shared" si="25"/>
        <v>2448383.5</v>
      </c>
      <c r="N8" s="22">
        <f t="shared" si="3"/>
        <v>-8.6557152635181378E-2</v>
      </c>
      <c r="O8" s="23">
        <f t="shared" si="4"/>
        <v>121.55380729361468</v>
      </c>
      <c r="P8" s="23">
        <f t="shared" si="5"/>
        <v>44.342323112274698</v>
      </c>
      <c r="Q8" s="23">
        <f t="shared" si="6"/>
        <v>1.6140647429432122</v>
      </c>
      <c r="R8" s="23">
        <f t="shared" si="7"/>
        <v>45.956387855217912</v>
      </c>
      <c r="S8" s="24">
        <f t="shared" si="8"/>
        <v>0.69520571301450973</v>
      </c>
      <c r="T8" s="16">
        <f t="shared" si="9"/>
        <v>0.65949038552893735</v>
      </c>
      <c r="U8" s="16">
        <f t="shared" si="10"/>
        <v>0.28593958800222258</v>
      </c>
      <c r="V8" s="24">
        <f t="shared" si="11"/>
        <v>0.95824764649495442</v>
      </c>
      <c r="W8" s="23">
        <f t="shared" si="12"/>
        <v>16.615020456552308</v>
      </c>
      <c r="X8" s="23">
        <f t="shared" si="13"/>
        <v>43.489798844151927</v>
      </c>
      <c r="Y8" s="23">
        <f t="shared" si="14"/>
        <v>234.33647275064141</v>
      </c>
      <c r="Z8" s="23">
        <f t="shared" si="15"/>
        <v>190.84667390648949</v>
      </c>
      <c r="AA8" s="24">
        <f t="shared" si="16"/>
        <v>-0.38590289752149975</v>
      </c>
      <c r="AB8" s="16">
        <f t="shared" si="17"/>
        <v>5</v>
      </c>
      <c r="AC8" s="25">
        <f t="shared" si="18"/>
        <v>-0.18818143662569786</v>
      </c>
      <c r="AD8" s="25">
        <f t="shared" si="19"/>
        <v>-0.94416531876787013</v>
      </c>
      <c r="AE8" s="25">
        <f t="shared" si="20"/>
        <v>191.27190495549746</v>
      </c>
      <c r="AF8" s="16">
        <v>7</v>
      </c>
      <c r="AG8" s="19">
        <f t="shared" si="21"/>
        <v>1.0089300353187909</v>
      </c>
      <c r="AX8"/>
    </row>
    <row r="9" spans="1:58" ht="16">
      <c r="A9"/>
      <c r="B9"/>
      <c r="C9"/>
      <c r="D9" s="12">
        <v>8</v>
      </c>
      <c r="E9" s="16">
        <f t="shared" si="22"/>
        <v>5</v>
      </c>
      <c r="G9" s="27" t="str">
        <f>IF(AND(MOD($F$2,4)=0,$A$5&lt;&gt;1700,$F$2&lt;&gt;1800,$F$2&lt;&gt;1900,$F$2&lt;&gt;2100,$F$2&lt;&gt;2200),"leap year","common year")</f>
        <v>common year</v>
      </c>
      <c r="H9" s="16">
        <f t="shared" si="23"/>
        <v>128</v>
      </c>
      <c r="I9" s="13">
        <f t="shared" si="0"/>
        <v>-22.422963226134112</v>
      </c>
      <c r="J9" s="21">
        <f t="shared" si="24"/>
        <v>-22.462977967711698</v>
      </c>
      <c r="K9" s="21">
        <f t="shared" si="1"/>
        <v>11.25021485033912</v>
      </c>
      <c r="L9" s="13">
        <f t="shared" si="2"/>
        <v>3.4558706152542413</v>
      </c>
      <c r="M9" s="6">
        <f t="shared" si="25"/>
        <v>2448384.5</v>
      </c>
      <c r="N9" s="22">
        <f t="shared" si="3"/>
        <v>-8.6529774127310055E-2</v>
      </c>
      <c r="O9" s="23">
        <f t="shared" si="4"/>
        <v>122.53940757635155</v>
      </c>
      <c r="P9" s="23">
        <f t="shared" si="5"/>
        <v>45.327970471001663</v>
      </c>
      <c r="Q9" s="23">
        <f t="shared" si="6"/>
        <v>1.5962997366947962</v>
      </c>
      <c r="R9" s="23">
        <f t="shared" si="7"/>
        <v>46.924270207696459</v>
      </c>
      <c r="S9" s="24">
        <f t="shared" si="8"/>
        <v>0.68296441927448603</v>
      </c>
      <c r="T9" s="16">
        <f t="shared" si="9"/>
        <v>0.6701705276495068</v>
      </c>
      <c r="U9" s="16">
        <f t="shared" si="10"/>
        <v>0.2905702425835201</v>
      </c>
      <c r="V9" s="24">
        <f t="shared" si="11"/>
        <v>0.9568536639031876</v>
      </c>
      <c r="W9" s="23">
        <f t="shared" si="12"/>
        <v>16.892098692975271</v>
      </c>
      <c r="X9" s="23">
        <f t="shared" si="13"/>
        <v>44.458284517188105</v>
      </c>
      <c r="Y9" s="23">
        <f t="shared" si="14"/>
        <v>235.32212011516094</v>
      </c>
      <c r="Z9" s="23">
        <f t="shared" si="15"/>
        <v>190.86383559797284</v>
      </c>
      <c r="AA9" s="24">
        <f t="shared" si="16"/>
        <v>-0.38144088890289912</v>
      </c>
      <c r="AB9" s="16">
        <f t="shared" si="17"/>
        <v>5</v>
      </c>
      <c r="AC9" s="25">
        <f t="shared" si="18"/>
        <v>-0.18847560491803975</v>
      </c>
      <c r="AD9" s="25">
        <f t="shared" si="19"/>
        <v>-0.94751228288956213</v>
      </c>
      <c r="AE9" s="25">
        <f t="shared" si="20"/>
        <v>191.25021485033912</v>
      </c>
      <c r="AF9" s="16">
        <v>8</v>
      </c>
      <c r="AG9" s="19">
        <f t="shared" si="21"/>
        <v>1.0091755493024142</v>
      </c>
      <c r="AX9"/>
    </row>
    <row r="10" spans="1:58" ht="16">
      <c r="A10"/>
      <c r="B10"/>
      <c r="C10"/>
      <c r="D10" s="12">
        <v>9</v>
      </c>
      <c r="E10" s="16">
        <f t="shared" si="22"/>
        <v>5</v>
      </c>
      <c r="H10" s="16">
        <f t="shared" si="23"/>
        <v>129</v>
      </c>
      <c r="I10" s="13">
        <f t="shared" si="0"/>
        <v>-22.151071713346166</v>
      </c>
      <c r="J10" s="21">
        <f t="shared" si="24"/>
        <v>-22.191601214436449</v>
      </c>
      <c r="K10" s="21">
        <f t="shared" si="1"/>
        <v>11.226802698215835</v>
      </c>
      <c r="L10" s="13">
        <f t="shared" si="2"/>
        <v>3.5150514672563418</v>
      </c>
      <c r="M10" s="6">
        <f t="shared" si="25"/>
        <v>2448385.5</v>
      </c>
      <c r="N10" s="22">
        <f t="shared" si="3"/>
        <v>-8.6502395619438746E-2</v>
      </c>
      <c r="O10" s="23">
        <f t="shared" si="4"/>
        <v>123.52500785908796</v>
      </c>
      <c r="P10" s="23">
        <f t="shared" si="5"/>
        <v>46.313617829729537</v>
      </c>
      <c r="Q10" s="23">
        <f t="shared" si="6"/>
        <v>1.57807839685652</v>
      </c>
      <c r="R10" s="23">
        <f t="shared" si="7"/>
        <v>47.891696226586056</v>
      </c>
      <c r="S10" s="24">
        <f t="shared" si="8"/>
        <v>0.67053414513053711</v>
      </c>
      <c r="T10" s="16">
        <f t="shared" si="9"/>
        <v>0.68065453179124524</v>
      </c>
      <c r="U10" s="16">
        <f t="shared" si="10"/>
        <v>0.29511585617533426</v>
      </c>
      <c r="V10" s="24">
        <f t="shared" si="11"/>
        <v>0.95546147564090689</v>
      </c>
      <c r="W10" s="23">
        <f t="shared" si="12"/>
        <v>17.164484742952691</v>
      </c>
      <c r="X10" s="23">
        <f t="shared" si="13"/>
        <v>45.429136662915454</v>
      </c>
      <c r="Y10" s="23">
        <f t="shared" si="14"/>
        <v>236.30776747944765</v>
      </c>
      <c r="Z10" s="23">
        <f t="shared" si="15"/>
        <v>190.87863081653219</v>
      </c>
      <c r="AA10" s="24">
        <f t="shared" si="16"/>
        <v>-0.37704999297855929</v>
      </c>
      <c r="AB10" s="16">
        <f t="shared" si="17"/>
        <v>5</v>
      </c>
      <c r="AC10" s="25">
        <f t="shared" si="18"/>
        <v>-0.18872919596231305</v>
      </c>
      <c r="AD10" s="25">
        <f t="shared" si="19"/>
        <v>-0.95081745943415696</v>
      </c>
      <c r="AE10" s="25">
        <f t="shared" si="20"/>
        <v>191.22680269821583</v>
      </c>
      <c r="AF10" s="16">
        <v>9</v>
      </c>
      <c r="AG10" s="19">
        <f t="shared" si="21"/>
        <v>1.0094180893502431</v>
      </c>
      <c r="AX10"/>
    </row>
    <row r="11" spans="1:58" ht="16">
      <c r="A11"/>
      <c r="B11"/>
      <c r="C11"/>
      <c r="D11" s="12">
        <v>10</v>
      </c>
      <c r="E11" s="16">
        <f t="shared" si="22"/>
        <v>5</v>
      </c>
      <c r="G11" s="10" t="s">
        <v>35</v>
      </c>
      <c r="H11" s="16">
        <f t="shared" si="23"/>
        <v>130</v>
      </c>
      <c r="I11" s="13">
        <f t="shared" si="0"/>
        <v>-21.884212675470948</v>
      </c>
      <c r="J11" s="21">
        <f t="shared" si="24"/>
        <v>-21.925257850969015</v>
      </c>
      <c r="K11" s="21">
        <f t="shared" si="1"/>
        <v>11.20168759766679</v>
      </c>
      <c r="L11" s="13">
        <f t="shared" si="2"/>
        <v>3.5647261709616203</v>
      </c>
      <c r="M11" s="6">
        <f t="shared" si="25"/>
        <v>2448386.5</v>
      </c>
      <c r="N11" s="22">
        <f t="shared" si="3"/>
        <v>-8.6475017111567423E-2</v>
      </c>
      <c r="O11" s="23">
        <f t="shared" si="4"/>
        <v>124.51060814182529</v>
      </c>
      <c r="P11" s="23">
        <f t="shared" si="5"/>
        <v>47.299265188457866</v>
      </c>
      <c r="Q11" s="23">
        <f t="shared" si="6"/>
        <v>1.5594063280145702</v>
      </c>
      <c r="R11" s="23">
        <f t="shared" si="7"/>
        <v>48.858671516472434</v>
      </c>
      <c r="S11" s="24">
        <f t="shared" si="8"/>
        <v>0.65791863365457481</v>
      </c>
      <c r="T11" s="16">
        <f t="shared" si="9"/>
        <v>0.69093974059416952</v>
      </c>
      <c r="U11" s="16">
        <f t="shared" si="10"/>
        <v>0.29957527661300587</v>
      </c>
      <c r="V11" s="24">
        <f t="shared" si="11"/>
        <v>0.95407266685627301</v>
      </c>
      <c r="W11" s="23">
        <f t="shared" si="12"/>
        <v>17.432095046400381</v>
      </c>
      <c r="X11" s="23">
        <f t="shared" si="13"/>
        <v>46.402365345717463</v>
      </c>
      <c r="Y11" s="23">
        <f t="shared" si="14"/>
        <v>237.29341484396718</v>
      </c>
      <c r="Z11" s="23">
        <f t="shared" si="15"/>
        <v>190.89104949824971</v>
      </c>
      <c r="AA11" s="24">
        <f t="shared" si="16"/>
        <v>-0.37273211168264075</v>
      </c>
      <c r="AB11" s="16">
        <f t="shared" si="17"/>
        <v>5</v>
      </c>
      <c r="AC11" s="25">
        <f t="shared" si="18"/>
        <v>-0.18894204329076641</v>
      </c>
      <c r="AD11" s="25">
        <f t="shared" si="19"/>
        <v>-0.95407955867505456</v>
      </c>
      <c r="AE11" s="25">
        <f t="shared" si="20"/>
        <v>191.20168759766679</v>
      </c>
      <c r="AF11" s="16">
        <v>10</v>
      </c>
      <c r="AG11" s="19">
        <f t="shared" si="21"/>
        <v>1.0096573108894111</v>
      </c>
      <c r="AX11"/>
    </row>
    <row r="12" spans="1:58" ht="16">
      <c r="A12"/>
      <c r="B12"/>
      <c r="C12"/>
      <c r="D12" s="12">
        <v>11</v>
      </c>
      <c r="E12" s="16">
        <f t="shared" si="22"/>
        <v>5</v>
      </c>
      <c r="G12" s="10" t="s">
        <v>36</v>
      </c>
      <c r="H12" s="16">
        <f t="shared" si="23"/>
        <v>131</v>
      </c>
      <c r="I12" s="13">
        <f t="shared" si="0"/>
        <v>-21.622467354362055</v>
      </c>
      <c r="J12" s="21">
        <f t="shared" si="24"/>
        <v>-21.66402867489294</v>
      </c>
      <c r="K12" s="21">
        <f t="shared" si="1"/>
        <v>11.174890991393625</v>
      </c>
      <c r="L12" s="13">
        <f t="shared" si="2"/>
        <v>3.6048668133525155</v>
      </c>
      <c r="M12" s="6">
        <f t="shared" si="25"/>
        <v>2448387.5</v>
      </c>
      <c r="N12" s="22">
        <f t="shared" si="3"/>
        <v>-8.64476386036961E-2</v>
      </c>
      <c r="O12" s="23">
        <f t="shared" si="4"/>
        <v>125.4962084245617</v>
      </c>
      <c r="P12" s="23">
        <f t="shared" si="5"/>
        <v>48.28491254718665</v>
      </c>
      <c r="Q12" s="23">
        <f t="shared" si="6"/>
        <v>1.5402892491118845</v>
      </c>
      <c r="R12" s="23">
        <f t="shared" si="7"/>
        <v>49.825201796298536</v>
      </c>
      <c r="S12" s="24">
        <f t="shared" si="8"/>
        <v>0.64512166631089363</v>
      </c>
      <c r="T12" s="16">
        <f t="shared" si="9"/>
        <v>0.70102355680115569</v>
      </c>
      <c r="U12" s="16">
        <f t="shared" si="10"/>
        <v>0.30394737779114472</v>
      </c>
      <c r="V12" s="24">
        <f t="shared" si="11"/>
        <v>0.95268882198432825</v>
      </c>
      <c r="W12" s="23">
        <f t="shared" si="12"/>
        <v>17.694846845788096</v>
      </c>
      <c r="X12" s="23">
        <f t="shared" si="13"/>
        <v>47.377977543848523</v>
      </c>
      <c r="Y12" s="23">
        <f t="shared" si="14"/>
        <v>238.27906220848672</v>
      </c>
      <c r="Z12" s="23">
        <f t="shared" si="15"/>
        <v>190.9010846646382</v>
      </c>
      <c r="AA12" s="24">
        <f t="shared" si="16"/>
        <v>-0.36848911698277442</v>
      </c>
      <c r="AB12" s="16">
        <f t="shared" si="17"/>
        <v>5</v>
      </c>
      <c r="AC12" s="25">
        <f t="shared" si="18"/>
        <v>-0.18911403238616817</v>
      </c>
      <c r="AD12" s="25">
        <f t="shared" si="19"/>
        <v>-0.95729726820760275</v>
      </c>
      <c r="AE12" s="25">
        <f t="shared" si="20"/>
        <v>191.17489099139362</v>
      </c>
      <c r="AF12" s="16">
        <v>11</v>
      </c>
      <c r="AG12" s="19">
        <f t="shared" si="21"/>
        <v>1.0098928711884838</v>
      </c>
      <c r="AX12"/>
    </row>
    <row r="13" spans="1:58" ht="16">
      <c r="A13"/>
      <c r="B13"/>
      <c r="C13"/>
      <c r="D13" s="12">
        <v>12</v>
      </c>
      <c r="E13" s="16">
        <f t="shared" si="22"/>
        <v>5</v>
      </c>
      <c r="H13" s="16">
        <f t="shared" si="23"/>
        <v>132</v>
      </c>
      <c r="I13" s="13">
        <f t="shared" si="0"/>
        <v>-21.365915661976686</v>
      </c>
      <c r="J13" s="21">
        <f t="shared" si="24"/>
        <v>-21.407993129806187</v>
      </c>
      <c r="K13" s="21">
        <f t="shared" si="1"/>
        <v>11.14643664945271</v>
      </c>
      <c r="L13" s="13">
        <f t="shared" si="2"/>
        <v>3.6354580175611204</v>
      </c>
      <c r="M13" s="6">
        <f t="shared" si="25"/>
        <v>2448388.5</v>
      </c>
      <c r="N13" s="22">
        <f t="shared" si="3"/>
        <v>-8.6420260095824777E-2</v>
      </c>
      <c r="O13" s="23">
        <f t="shared" si="4"/>
        <v>126.4818087072972</v>
      </c>
      <c r="P13" s="23">
        <f t="shared" si="5"/>
        <v>49.270559905916343</v>
      </c>
      <c r="Q13" s="23">
        <f t="shared" si="6"/>
        <v>1.5207329915776653</v>
      </c>
      <c r="R13" s="23">
        <f t="shared" si="7"/>
        <v>50.79129289749401</v>
      </c>
      <c r="S13" s="24">
        <f t="shared" si="8"/>
        <v>0.63214706182584246</v>
      </c>
      <c r="T13" s="16">
        <f t="shared" si="9"/>
        <v>0.71090344352293255</v>
      </c>
      <c r="U13" s="16">
        <f t="shared" si="10"/>
        <v>0.30823105977852255</v>
      </c>
      <c r="V13" s="24">
        <f t="shared" si="11"/>
        <v>0.95131152299749255</v>
      </c>
      <c r="W13" s="23">
        <f t="shared" si="12"/>
        <v>17.952658232417267</v>
      </c>
      <c r="X13" s="23">
        <f t="shared" si="13"/>
        <v>48.355977101526065</v>
      </c>
      <c r="Y13" s="23">
        <f t="shared" si="14"/>
        <v>239.26470957300626</v>
      </c>
      <c r="Z13" s="23">
        <f t="shared" si="15"/>
        <v>190.90873247148019</v>
      </c>
      <c r="AA13" s="24">
        <f t="shared" si="16"/>
        <v>-0.36432284967251621</v>
      </c>
      <c r="AB13" s="16">
        <f t="shared" si="17"/>
        <v>5</v>
      </c>
      <c r="AC13" s="25">
        <f t="shared" si="18"/>
        <v>-0.18924510149279722</v>
      </c>
      <c r="AD13" s="25">
        <f t="shared" si="19"/>
        <v>-0.96046925402339878</v>
      </c>
      <c r="AE13" s="25">
        <f t="shared" si="20"/>
        <v>191.14643664945271</v>
      </c>
      <c r="AF13" s="16">
        <v>12</v>
      </c>
      <c r="AG13" s="19">
        <f t="shared" si="21"/>
        <v>1.0101244471693802</v>
      </c>
      <c r="AX13"/>
    </row>
    <row r="14" spans="1:58" ht="16">
      <c r="A14"/>
      <c r="B14"/>
      <c r="C14"/>
      <c r="D14" s="12">
        <v>13</v>
      </c>
      <c r="E14" s="16">
        <f t="shared" si="22"/>
        <v>5</v>
      </c>
      <c r="H14" s="16">
        <f t="shared" si="23"/>
        <v>133</v>
      </c>
      <c r="I14" s="13">
        <f t="shared" si="0"/>
        <v>-21.114636135339687</v>
      </c>
      <c r="J14" s="21">
        <f t="shared" si="24"/>
        <v>-21.157229260387865</v>
      </c>
      <c r="K14" s="21">
        <f t="shared" si="1"/>
        <v>11.116350649760051</v>
      </c>
      <c r="L14" s="13">
        <f t="shared" si="2"/>
        <v>3.6564971213955459</v>
      </c>
      <c r="M14" s="6">
        <f t="shared" si="25"/>
        <v>2448389.5</v>
      </c>
      <c r="N14" s="22">
        <f t="shared" si="3"/>
        <v>-8.6392881587953455E-2</v>
      </c>
      <c r="O14" s="23">
        <f t="shared" si="4"/>
        <v>127.46740899003362</v>
      </c>
      <c r="P14" s="23">
        <f t="shared" si="5"/>
        <v>50.256207264645582</v>
      </c>
      <c r="Q14" s="23">
        <f t="shared" si="6"/>
        <v>1.5007434974457741</v>
      </c>
      <c r="R14" s="23">
        <f t="shared" si="7"/>
        <v>51.756950762091357</v>
      </c>
      <c r="S14" s="24">
        <f t="shared" si="8"/>
        <v>0.61899867506445572</v>
      </c>
      <c r="T14" s="16">
        <f t="shared" si="9"/>
        <v>0.72057692448631916</v>
      </c>
      <c r="U14" s="16">
        <f t="shared" si="10"/>
        <v>0.31242524892570045</v>
      </c>
      <c r="V14" s="24">
        <f t="shared" si="11"/>
        <v>0.94994234763679952</v>
      </c>
      <c r="W14" s="23">
        <f t="shared" si="12"/>
        <v>18.20544819435209</v>
      </c>
      <c r="X14" s="23">
        <f t="shared" si="13"/>
        <v>49.336364684296697</v>
      </c>
      <c r="Y14" s="23">
        <f t="shared" si="14"/>
        <v>240.25035693752579</v>
      </c>
      <c r="Z14" s="23">
        <f t="shared" si="15"/>
        <v>190.91399225322908</v>
      </c>
      <c r="AA14" s="24">
        <f t="shared" si="16"/>
        <v>-0.36023511818745929</v>
      </c>
      <c r="AB14" s="16">
        <f t="shared" si="17"/>
        <v>5</v>
      </c>
      <c r="AC14" s="25">
        <f t="shared" si="18"/>
        <v>-0.18933524235859614</v>
      </c>
      <c r="AD14" s="25">
        <f t="shared" si="19"/>
        <v>-0.96359416171115875</v>
      </c>
      <c r="AE14" s="25">
        <f t="shared" si="20"/>
        <v>191.11635064976005</v>
      </c>
      <c r="AF14" s="16">
        <v>13</v>
      </c>
      <c r="AG14" s="19">
        <f t="shared" si="21"/>
        <v>1.0103517557547343</v>
      </c>
      <c r="AX14"/>
    </row>
    <row r="15" spans="1:58" ht="16">
      <c r="A15"/>
      <c r="B15"/>
      <c r="C15"/>
      <c r="D15" s="12">
        <v>14</v>
      </c>
      <c r="E15" s="16">
        <f t="shared" si="22"/>
        <v>5</v>
      </c>
      <c r="H15" s="16">
        <f t="shared" si="23"/>
        <v>134</v>
      </c>
      <c r="I15" s="13">
        <f t="shared" si="0"/>
        <v>-20.868705891182909</v>
      </c>
      <c r="J15" s="21">
        <f t="shared" si="24"/>
        <v>-20.91181366727896</v>
      </c>
      <c r="K15" s="21">
        <f t="shared" si="1"/>
        <v>11.084661357014625</v>
      </c>
      <c r="L15" s="13">
        <f t="shared" si="2"/>
        <v>3.6679943416372964</v>
      </c>
      <c r="M15" s="6">
        <f t="shared" si="25"/>
        <v>2448390.5</v>
      </c>
      <c r="N15" s="22">
        <f t="shared" si="3"/>
        <v>-8.6365503080082132E-2</v>
      </c>
      <c r="O15" s="23">
        <f t="shared" si="4"/>
        <v>128.45300927276958</v>
      </c>
      <c r="P15" s="23">
        <f t="shared" si="5"/>
        <v>51.24185462337573</v>
      </c>
      <c r="Q15" s="23">
        <f t="shared" si="6"/>
        <v>1.4803268174626383</v>
      </c>
      <c r="R15" s="23">
        <f t="shared" si="7"/>
        <v>52.722181440838369</v>
      </c>
      <c r="S15" s="24">
        <f t="shared" si="8"/>
        <v>0.6056803959141378</v>
      </c>
      <c r="T15" s="16">
        <f t="shared" si="9"/>
        <v>0.73004158426623988</v>
      </c>
      <c r="U15" s="16">
        <f t="shared" si="10"/>
        <v>0.31652889796562317</v>
      </c>
      <c r="V15" s="24">
        <f t="shared" si="11"/>
        <v>0.94858286762552702</v>
      </c>
      <c r="W15" s="23">
        <f t="shared" si="12"/>
        <v>18.453136665944989</v>
      </c>
      <c r="X15" s="23">
        <f t="shared" si="13"/>
        <v>50.319137737966408</v>
      </c>
      <c r="Y15" s="23">
        <f t="shared" si="14"/>
        <v>241.2360043018125</v>
      </c>
      <c r="Z15" s="23">
        <f t="shared" si="15"/>
        <v>190.9168665638461</v>
      </c>
      <c r="AA15" s="24">
        <f t="shared" si="16"/>
        <v>-0.35622769744359856</v>
      </c>
      <c r="AB15" s="16">
        <f t="shared" si="17"/>
        <v>5</v>
      </c>
      <c r="AC15" s="25">
        <f t="shared" si="18"/>
        <v>-0.18938450092368259</v>
      </c>
      <c r="AD15" s="25">
        <f t="shared" si="19"/>
        <v>-0.96667061778196905</v>
      </c>
      <c r="AE15" s="25">
        <f t="shared" si="20"/>
        <v>191.08466135701462</v>
      </c>
      <c r="AF15" s="16">
        <v>14</v>
      </c>
      <c r="AG15" s="19">
        <f t="shared" si="21"/>
        <v>1.0105745741841934</v>
      </c>
      <c r="AX15"/>
    </row>
    <row r="16" spans="1:58" ht="16">
      <c r="A16"/>
      <c r="B16"/>
      <c r="C16"/>
      <c r="D16" s="12">
        <v>15</v>
      </c>
      <c r="E16" s="16">
        <f t="shared" si="22"/>
        <v>5</v>
      </c>
      <c r="H16" s="16">
        <f t="shared" si="23"/>
        <v>135</v>
      </c>
      <c r="I16" s="13">
        <f t="shared" si="0"/>
        <v>-20.628200580192861</v>
      </c>
      <c r="J16" s="21">
        <f t="shared" si="24"/>
        <v>-20.671821461720011</v>
      </c>
      <c r="K16" s="21">
        <f t="shared" si="1"/>
        <v>11.051399401145176</v>
      </c>
      <c r="L16" s="13">
        <f t="shared" si="2"/>
        <v>3.6699729229762852</v>
      </c>
      <c r="M16" s="6">
        <f t="shared" si="25"/>
        <v>2448391.5</v>
      </c>
      <c r="N16" s="22">
        <f t="shared" si="3"/>
        <v>-8.6338124572210809E-2</v>
      </c>
      <c r="O16" s="23">
        <f t="shared" si="4"/>
        <v>129.43860955550508</v>
      </c>
      <c r="P16" s="23">
        <f t="shared" si="5"/>
        <v>52.227501982106787</v>
      </c>
      <c r="Q16" s="23">
        <f t="shared" si="6"/>
        <v>1.459489109184956</v>
      </c>
      <c r="R16" s="23">
        <f t="shared" si="7"/>
        <v>53.686991091291745</v>
      </c>
      <c r="S16" s="24">
        <f t="shared" si="8"/>
        <v>0.59219614817581567</v>
      </c>
      <c r="T16" s="16">
        <f t="shared" si="9"/>
        <v>0.73929506850180271</v>
      </c>
      <c r="U16" s="16">
        <f t="shared" si="10"/>
        <v>0.32054098610730314</v>
      </c>
      <c r="V16" s="24">
        <f t="shared" si="11"/>
        <v>0.94723464686705672</v>
      </c>
      <c r="W16" s="23">
        <f t="shared" si="12"/>
        <v>18.695644578882995</v>
      </c>
      <c r="X16" s="23">
        <f t="shared" si="13"/>
        <v>51.304290451362718</v>
      </c>
      <c r="Y16" s="23">
        <f t="shared" si="14"/>
        <v>242.22165166633204</v>
      </c>
      <c r="Z16" s="23">
        <f t="shared" si="15"/>
        <v>190.91736121496933</v>
      </c>
      <c r="AA16" s="24">
        <f t="shared" si="16"/>
        <v>-0.35230232769657954</v>
      </c>
      <c r="AB16" s="16">
        <f t="shared" si="17"/>
        <v>5</v>
      </c>
      <c r="AC16" s="25">
        <f t="shared" si="18"/>
        <v>-0.18939297797075275</v>
      </c>
      <c r="AD16" s="25">
        <f t="shared" si="19"/>
        <v>-0.96969723111604034</v>
      </c>
      <c r="AE16" s="25">
        <f t="shared" si="20"/>
        <v>191.05139940114518</v>
      </c>
      <c r="AF16" s="16">
        <v>15</v>
      </c>
      <c r="AG16" s="19">
        <f t="shared" si="21"/>
        <v>1.0107927574024469</v>
      </c>
      <c r="AX16"/>
    </row>
    <row r="17" spans="1:35" customFormat="1" ht="16">
      <c r="D17" s="12">
        <v>16</v>
      </c>
      <c r="E17" s="16">
        <f t="shared" si="22"/>
        <v>5</v>
      </c>
      <c r="H17" s="16">
        <f t="shared" si="23"/>
        <v>136</v>
      </c>
      <c r="I17" s="13">
        <f t="shared" si="0"/>
        <v>-20.393194341403269</v>
      </c>
      <c r="J17" s="21">
        <f t="shared" si="24"/>
        <v>-20.437326220490295</v>
      </c>
      <c r="K17" s="21">
        <f t="shared" si="1"/>
        <v>11.016597651437337</v>
      </c>
      <c r="L17" s="13">
        <f t="shared" si="2"/>
        <v>3.6624692704428696</v>
      </c>
      <c r="M17" s="6">
        <f t="shared" si="25"/>
        <v>2448392.5</v>
      </c>
      <c r="N17" s="22">
        <f t="shared" si="3"/>
        <v>-8.63107460643395E-2</v>
      </c>
      <c r="O17" s="23">
        <f t="shared" si="4"/>
        <v>130.42420983823968</v>
      </c>
      <c r="P17" s="23">
        <f t="shared" si="5"/>
        <v>53.21314934083739</v>
      </c>
      <c r="Q17" s="23">
        <f t="shared" si="6"/>
        <v>1.4382366350680804</v>
      </c>
      <c r="R17" s="23">
        <f t="shared" si="7"/>
        <v>54.65138597590547</v>
      </c>
      <c r="S17" s="24">
        <f t="shared" si="8"/>
        <v>0.57854988846256483</v>
      </c>
      <c r="T17" s="16">
        <f t="shared" si="9"/>
        <v>0.74833508409701599</v>
      </c>
      <c r="U17" s="16">
        <f t="shared" si="10"/>
        <v>0.32446051912284474</v>
      </c>
      <c r="V17" s="24">
        <f t="shared" si="11"/>
        <v>0.94589923962890154</v>
      </c>
      <c r="W17" s="23">
        <f t="shared" si="12"/>
        <v>18.93289391468133</v>
      </c>
      <c r="X17" s="23">
        <f t="shared" si="13"/>
        <v>52.291813723226674</v>
      </c>
      <c r="Y17" s="23">
        <f t="shared" si="14"/>
        <v>243.20729903061874</v>
      </c>
      <c r="Z17" s="23">
        <f t="shared" si="15"/>
        <v>190.91548530739206</v>
      </c>
      <c r="AA17" s="24">
        <f t="shared" si="16"/>
        <v>-0.34846071343023399</v>
      </c>
      <c r="AB17" s="16">
        <f t="shared" si="17"/>
        <v>5</v>
      </c>
      <c r="AC17" s="25">
        <f t="shared" si="18"/>
        <v>-0.18936082966853743</v>
      </c>
      <c r="AD17" s="25">
        <f t="shared" si="19"/>
        <v>-0.97267259454007826</v>
      </c>
      <c r="AE17" s="25">
        <f t="shared" si="20"/>
        <v>191.01659765143734</v>
      </c>
      <c r="AF17" s="16">
        <v>16</v>
      </c>
      <c r="AG17" s="19">
        <f t="shared" si="21"/>
        <v>1.0110062498003729</v>
      </c>
    </row>
    <row r="18" spans="1:35" customFormat="1" ht="16">
      <c r="D18" s="12">
        <v>17</v>
      </c>
      <c r="E18" s="16">
        <f t="shared" si="22"/>
        <v>5</v>
      </c>
      <c r="H18" s="16">
        <f t="shared" si="23"/>
        <v>137</v>
      </c>
      <c r="I18" s="13">
        <f t="shared" si="0"/>
        <v>-20.163759756064731</v>
      </c>
      <c r="J18" s="21">
        <f t="shared" si="24"/>
        <v>-20.208399940490224</v>
      </c>
      <c r="K18" s="21">
        <f t="shared" si="1"/>
        <v>10.980291192361165</v>
      </c>
      <c r="L18" s="13">
        <f t="shared" si="2"/>
        <v>3.6455330641985881</v>
      </c>
      <c r="M18" s="6">
        <f t="shared" si="25"/>
        <v>2448393.5</v>
      </c>
      <c r="N18" s="22">
        <f t="shared" si="3"/>
        <v>-8.6283367556468177E-2</v>
      </c>
      <c r="O18" s="23">
        <f t="shared" si="4"/>
        <v>131.40981012097473</v>
      </c>
      <c r="P18" s="23">
        <f t="shared" si="5"/>
        <v>54.198796699569357</v>
      </c>
      <c r="Q18" s="23">
        <f t="shared" si="6"/>
        <v>1.4165757605454139</v>
      </c>
      <c r="R18" s="23">
        <f t="shared" si="7"/>
        <v>55.61537246011477</v>
      </c>
      <c r="S18" s="24">
        <f t="shared" si="8"/>
        <v>0.56474560510586502</v>
      </c>
      <c r="T18" s="16">
        <f t="shared" si="9"/>
        <v>0.75715939940657939</v>
      </c>
      <c r="U18" s="16">
        <f t="shared" si="10"/>
        <v>0.32828652942799591</v>
      </c>
      <c r="V18" s="24">
        <f t="shared" si="11"/>
        <v>0.9445781887150061</v>
      </c>
      <c r="W18" s="23">
        <f t="shared" si="12"/>
        <v>19.164807758538572</v>
      </c>
      <c r="X18" s="23">
        <f t="shared" si="13"/>
        <v>53.281695133519712</v>
      </c>
      <c r="Y18" s="23">
        <f t="shared" si="14"/>
        <v>244.19294639513828</v>
      </c>
      <c r="Z18" s="23">
        <f t="shared" si="15"/>
        <v>190.91125126161856</v>
      </c>
      <c r="AA18" s="24">
        <f t="shared" si="16"/>
        <v>-0.34470452226309811</v>
      </c>
      <c r="AB18" s="16">
        <f t="shared" si="17"/>
        <v>5</v>
      </c>
      <c r="AC18" s="25">
        <f t="shared" si="18"/>
        <v>-0.1892882681072329</v>
      </c>
      <c r="AD18" s="25">
        <f t="shared" si="19"/>
        <v>-0.97559528651894545</v>
      </c>
      <c r="AE18" s="25">
        <f t="shared" si="20"/>
        <v>190.98029119236116</v>
      </c>
      <c r="AF18" s="16">
        <v>17</v>
      </c>
      <c r="AG18" s="19">
        <f t="shared" si="21"/>
        <v>1.0112150892614638</v>
      </c>
    </row>
    <row r="19" spans="1:35" customFormat="1" ht="16">
      <c r="D19" s="12">
        <v>18</v>
      </c>
      <c r="E19" s="16">
        <f t="shared" si="22"/>
        <v>5</v>
      </c>
      <c r="H19" s="16">
        <f t="shared" si="23"/>
        <v>138</v>
      </c>
      <c r="I19" s="13">
        <f t="shared" si="0"/>
        <v>-19.939967801937875</v>
      </c>
      <c r="J19" s="21">
        <f t="shared" si="24"/>
        <v>-19.985112993918211</v>
      </c>
      <c r="K19" s="21">
        <f t="shared" si="1"/>
        <v>10.942517294026629</v>
      </c>
      <c r="L19" s="13">
        <f t="shared" si="2"/>
        <v>3.6192273555586212</v>
      </c>
      <c r="M19" s="6">
        <f t="shared" si="25"/>
        <v>2448394.5</v>
      </c>
      <c r="N19" s="22">
        <f t="shared" si="3"/>
        <v>-8.6255989048596854E-2</v>
      </c>
      <c r="O19" s="23">
        <f t="shared" si="4"/>
        <v>132.39541040370977</v>
      </c>
      <c r="P19" s="23">
        <f t="shared" si="5"/>
        <v>55.184444058300869</v>
      </c>
      <c r="Q19" s="23">
        <f t="shared" si="6"/>
        <v>1.3945129520995587</v>
      </c>
      <c r="R19" s="23">
        <f t="shared" si="7"/>
        <v>56.57895701040043</v>
      </c>
      <c r="S19" s="24">
        <f t="shared" si="8"/>
        <v>0.55078731706985462</v>
      </c>
      <c r="T19" s="16">
        <f t="shared" si="9"/>
        <v>0.76576584440703832</v>
      </c>
      <c r="U19" s="16">
        <f t="shared" si="10"/>
        <v>0.33201807615635487</v>
      </c>
      <c r="V19" s="24">
        <f t="shared" si="11"/>
        <v>0.94327302362859555</v>
      </c>
      <c r="W19" s="23">
        <f t="shared" si="12"/>
        <v>19.391310354456067</v>
      </c>
      <c r="X19" s="23">
        <f t="shared" si="13"/>
        <v>54.273918919411216</v>
      </c>
      <c r="Y19" s="23">
        <f t="shared" si="14"/>
        <v>245.17859375965782</v>
      </c>
      <c r="Z19" s="23">
        <f t="shared" si="15"/>
        <v>190.9046748402466</v>
      </c>
      <c r="AA19" s="24">
        <f t="shared" si="16"/>
        <v>-0.34103538388787935</v>
      </c>
      <c r="AB19" s="16">
        <f t="shared" si="17"/>
        <v>5</v>
      </c>
      <c r="AC19" s="25">
        <f t="shared" si="18"/>
        <v>-0.18917556170162755</v>
      </c>
      <c r="AD19" s="25">
        <f t="shared" si="19"/>
        <v>-0.97846387297759474</v>
      </c>
      <c r="AE19" s="25">
        <f t="shared" si="20"/>
        <v>190.94251729402663</v>
      </c>
      <c r="AF19" s="16">
        <v>18</v>
      </c>
      <c r="AG19" s="19">
        <f t="shared" si="21"/>
        <v>1.0114194025191061</v>
      </c>
    </row>
    <row r="20" spans="1:35" s="28" customFormat="1" ht="16">
      <c r="A20"/>
      <c r="B20"/>
      <c r="C20"/>
      <c r="D20" s="12">
        <v>19</v>
      </c>
      <c r="E20" s="16">
        <f t="shared" si="22"/>
        <v>5</v>
      </c>
      <c r="F20"/>
      <c r="H20" s="16">
        <f t="shared" si="23"/>
        <v>139</v>
      </c>
      <c r="I20" s="13">
        <f t="shared" si="0"/>
        <v>-19.721887807346405</v>
      </c>
      <c r="J20" s="21">
        <f t="shared" si="24"/>
        <v>-19.767534083385378</v>
      </c>
      <c r="K20" s="21">
        <f t="shared" si="1"/>
        <v>10.903315383253158</v>
      </c>
      <c r="L20" s="13">
        <f t="shared" si="2"/>
        <v>3.583628643128776</v>
      </c>
      <c r="M20" s="6">
        <f t="shared" si="25"/>
        <v>2448395.5</v>
      </c>
      <c r="N20" s="29">
        <f t="shared" si="3"/>
        <v>-8.6228610540725531E-2</v>
      </c>
      <c r="O20" s="6">
        <f t="shared" si="4"/>
        <v>133.38101068644482</v>
      </c>
      <c r="P20" s="6">
        <f t="shared" si="5"/>
        <v>56.170091417033291</v>
      </c>
      <c r="Q20" s="6">
        <f t="shared" si="6"/>
        <v>1.3720547753254591</v>
      </c>
      <c r="R20" s="23">
        <f t="shared" si="7"/>
        <v>57.54214619235875</v>
      </c>
      <c r="S20" s="30">
        <f t="shared" si="8"/>
        <v>0.53667907287336136</v>
      </c>
      <c r="T20" s="16">
        <f t="shared" si="9"/>
        <v>0.77415231085396519</v>
      </c>
      <c r="U20" s="12">
        <f t="shared" si="10"/>
        <v>0.33565424522751824</v>
      </c>
      <c r="V20" s="30">
        <f t="shared" si="11"/>
        <v>0.94198525872794048</v>
      </c>
      <c r="W20" s="6">
        <f t="shared" si="12"/>
        <v>19.612327161525812</v>
      </c>
      <c r="X20" s="23">
        <f t="shared" si="13"/>
        <v>55.268465956251099</v>
      </c>
      <c r="Y20" s="6">
        <f t="shared" si="14"/>
        <v>246.16424112417735</v>
      </c>
      <c r="Z20" s="6">
        <f t="shared" si="15"/>
        <v>190.89577516792625</v>
      </c>
      <c r="AA20" s="30">
        <f t="shared" si="16"/>
        <v>-0.33745488903248438</v>
      </c>
      <c r="AB20" s="16">
        <f t="shared" si="17"/>
        <v>5</v>
      </c>
      <c r="AC20" s="25">
        <f t="shared" si="18"/>
        <v>-0.1890230355604052</v>
      </c>
      <c r="AD20" s="25">
        <f t="shared" si="19"/>
        <v>-0.98127690923580313</v>
      </c>
      <c r="AE20" s="25">
        <f t="shared" si="20"/>
        <v>190.90331538325316</v>
      </c>
      <c r="AF20" s="16">
        <v>19</v>
      </c>
      <c r="AG20" s="19">
        <f t="shared" si="21"/>
        <v>1.0116193920836873</v>
      </c>
      <c r="AH20"/>
      <c r="AI20"/>
    </row>
    <row r="21" spans="1:35" customFormat="1" ht="16">
      <c r="D21" s="12">
        <v>20</v>
      </c>
      <c r="E21" s="16">
        <f t="shared" si="22"/>
        <v>5</v>
      </c>
      <c r="H21" s="16">
        <f t="shared" si="23"/>
        <v>140</v>
      </c>
      <c r="I21" s="13">
        <f t="shared" si="0"/>
        <v>-19.509587405538642</v>
      </c>
      <c r="J21" s="21">
        <f t="shared" si="24"/>
        <v>-19.555730197519296</v>
      </c>
      <c r="K21" s="21">
        <f t="shared" si="1"/>
        <v>10.862727011484935</v>
      </c>
      <c r="L21" s="13">
        <f t="shared" si="2"/>
        <v>3.5388269279678468</v>
      </c>
      <c r="M21" s="6">
        <f t="shared" si="25"/>
        <v>2448396.5</v>
      </c>
      <c r="N21" s="22">
        <f t="shared" si="3"/>
        <v>-8.6201232032854208E-2</v>
      </c>
      <c r="O21" s="23">
        <f t="shared" si="4"/>
        <v>134.36661096917851</v>
      </c>
      <c r="P21" s="23">
        <f t="shared" si="5"/>
        <v>57.155738775766622</v>
      </c>
      <c r="Q21" s="23">
        <f t="shared" si="6"/>
        <v>1.3492078929862452</v>
      </c>
      <c r="R21" s="23">
        <f t="shared" si="7"/>
        <v>58.504946668752865</v>
      </c>
      <c r="S21" s="24">
        <f t="shared" si="8"/>
        <v>0.52242494952017349</v>
      </c>
      <c r="T21" s="16">
        <f t="shared" si="9"/>
        <v>0.78231675242536836</v>
      </c>
      <c r="U21" s="16">
        <f t="shared" si="10"/>
        <v>0.33919414940925663</v>
      </c>
      <c r="V21" s="24">
        <f t="shared" si="11"/>
        <v>0.94071639137761964</v>
      </c>
      <c r="W21" s="23">
        <f t="shared" si="12"/>
        <v>19.827784911270925</v>
      </c>
      <c r="X21" s="23">
        <f t="shared" si="13"/>
        <v>56.265313743774662</v>
      </c>
      <c r="Y21" s="23">
        <f t="shared" si="14"/>
        <v>247.14988848869689</v>
      </c>
      <c r="Z21" s="23">
        <f t="shared" si="15"/>
        <v>190.88457474492222</v>
      </c>
      <c r="AA21" s="24">
        <f t="shared" si="16"/>
        <v>-0.33396458845096316</v>
      </c>
      <c r="AB21" s="16">
        <f t="shared" si="17"/>
        <v>5</v>
      </c>
      <c r="AC21" s="25">
        <f t="shared" si="18"/>
        <v>-0.18883107175341135</v>
      </c>
      <c r="AD21" s="25">
        <f t="shared" si="19"/>
        <v>-0.98403294206204928</v>
      </c>
      <c r="AE21" s="25">
        <f t="shared" si="20"/>
        <v>190.86272701148494</v>
      </c>
      <c r="AF21" s="16">
        <v>20</v>
      </c>
      <c r="AG21" s="19">
        <f t="shared" si="21"/>
        <v>1.0118153162308801</v>
      </c>
    </row>
    <row r="22" spans="1:35" customFormat="1" ht="16">
      <c r="D22" s="12">
        <v>21</v>
      </c>
      <c r="E22" s="16">
        <f t="shared" si="22"/>
        <v>5</v>
      </c>
      <c r="H22" s="16">
        <f t="shared" si="23"/>
        <v>141</v>
      </c>
      <c r="I22" s="13">
        <f t="shared" si="0"/>
        <v>-19.303132489301092</v>
      </c>
      <c r="J22" s="21">
        <f t="shared" si="24"/>
        <v>-19.349766567002458</v>
      </c>
      <c r="K22" s="21">
        <f t="shared" si="1"/>
        <v>10.820795820653075</v>
      </c>
      <c r="L22" s="13">
        <f t="shared" si="2"/>
        <v>3.4849257467127472</v>
      </c>
      <c r="M22" s="6">
        <f t="shared" si="25"/>
        <v>2448397.5</v>
      </c>
      <c r="N22" s="22">
        <f t="shared" si="3"/>
        <v>-8.6173853524982885E-2</v>
      </c>
      <c r="O22" s="23">
        <f t="shared" si="4"/>
        <v>135.35221125191265</v>
      </c>
      <c r="P22" s="23">
        <f t="shared" si="5"/>
        <v>58.141386134499953</v>
      </c>
      <c r="Q22" s="23">
        <f t="shared" si="6"/>
        <v>1.3259790630620063</v>
      </c>
      <c r="R22" s="23">
        <f t="shared" si="7"/>
        <v>59.467365197561961</v>
      </c>
      <c r="S22" s="24">
        <f t="shared" si="8"/>
        <v>0.50802905143741894</v>
      </c>
      <c r="T22" s="16">
        <f t="shared" si="9"/>
        <v>0.790257184851899</v>
      </c>
      <c r="U22" s="16">
        <f t="shared" si="10"/>
        <v>0.34263692837396809</v>
      </c>
      <c r="V22" s="24">
        <f t="shared" si="11"/>
        <v>0.93946790009795023</v>
      </c>
      <c r="W22" s="23">
        <f t="shared" si="12"/>
        <v>20.03761166592481</v>
      </c>
      <c r="X22" s="23">
        <f t="shared" si="13"/>
        <v>57.264436397821768</v>
      </c>
      <c r="Y22" s="23">
        <f t="shared" si="14"/>
        <v>248.13553585298359</v>
      </c>
      <c r="Z22" s="23">
        <f t="shared" si="15"/>
        <v>190.87109945516181</v>
      </c>
      <c r="AA22" s="24">
        <f t="shared" si="16"/>
        <v>-0.33056599194277986</v>
      </c>
      <c r="AB22" s="16">
        <f t="shared" si="17"/>
        <v>5</v>
      </c>
      <c r="AC22" s="25">
        <f t="shared" si="18"/>
        <v>-0.18860010949180575</v>
      </c>
      <c r="AD22" s="25">
        <f t="shared" si="19"/>
        <v>-0.98673051184002425</v>
      </c>
      <c r="AE22" s="25">
        <f t="shared" si="20"/>
        <v>190.82079582065307</v>
      </c>
      <c r="AF22" s="16">
        <v>21</v>
      </c>
      <c r="AG22" s="19">
        <f t="shared" si="21"/>
        <v>1.0120074645353334</v>
      </c>
    </row>
    <row r="23" spans="1:35" customFormat="1" ht="16">
      <c r="D23" s="12">
        <v>22</v>
      </c>
      <c r="E23" s="16">
        <f t="shared" si="22"/>
        <v>5</v>
      </c>
      <c r="H23" s="16">
        <f t="shared" si="23"/>
        <v>142</v>
      </c>
      <c r="I23" s="13">
        <f t="shared" si="0"/>
        <v>-19.102587165775397</v>
      </c>
      <c r="J23" s="21">
        <f t="shared" si="24"/>
        <v>-19.149706620996898</v>
      </c>
      <c r="K23" s="21">
        <f t="shared" si="1"/>
        <v>10.777567508086833</v>
      </c>
      <c r="L23" s="13">
        <f t="shared" si="2"/>
        <v>3.4220421816408191</v>
      </c>
      <c r="M23" s="6">
        <f t="shared" si="25"/>
        <v>2448398.5</v>
      </c>
      <c r="N23" s="22">
        <f t="shared" si="3"/>
        <v>-8.6146475017111562E-2</v>
      </c>
      <c r="O23" s="23">
        <f t="shared" si="4"/>
        <v>136.33781153464724</v>
      </c>
      <c r="P23" s="23">
        <f t="shared" si="5"/>
        <v>59.127033493234194</v>
      </c>
      <c r="Q23" s="23">
        <f t="shared" si="6"/>
        <v>1.3023751367922918</v>
      </c>
      <c r="R23" s="23">
        <f t="shared" si="7"/>
        <v>60.429408630026487</v>
      </c>
      <c r="S23" s="24">
        <f t="shared" si="8"/>
        <v>0.4934955094221582</v>
      </c>
      <c r="T23" s="16">
        <f t="shared" si="9"/>
        <v>0.79797168603425317</v>
      </c>
      <c r="U23" s="16">
        <f t="shared" si="10"/>
        <v>0.34598174874957738</v>
      </c>
      <c r="V23" s="24">
        <f t="shared" si="11"/>
        <v>0.93824124271542464</v>
      </c>
      <c r="W23" s="23">
        <f t="shared" si="12"/>
        <v>20.241736877522424</v>
      </c>
      <c r="X23" s="23">
        <f t="shared" si="13"/>
        <v>58.265804647823991</v>
      </c>
      <c r="Y23" s="23">
        <f t="shared" si="14"/>
        <v>249.12118321750313</v>
      </c>
      <c r="Z23" s="23">
        <f t="shared" si="15"/>
        <v>190.85537856967915</v>
      </c>
      <c r="AA23" s="24">
        <f t="shared" si="16"/>
        <v>-0.32726056739886883</v>
      </c>
      <c r="AB23" s="16">
        <f t="shared" si="17"/>
        <v>5</v>
      </c>
      <c r="AC23" s="25">
        <f t="shared" si="18"/>
        <v>-0.18833064523646179</v>
      </c>
      <c r="AD23" s="25">
        <f t="shared" si="19"/>
        <v>-0.98936815484045104</v>
      </c>
      <c r="AE23" s="25">
        <f t="shared" si="20"/>
        <v>190.77756750808683</v>
      </c>
      <c r="AF23" s="16">
        <v>22</v>
      </c>
      <c r="AG23" s="19">
        <f t="shared" si="21"/>
        <v>1.0121961320126631</v>
      </c>
    </row>
    <row r="24" spans="1:35" customFormat="1" ht="16">
      <c r="D24" s="12">
        <v>23</v>
      </c>
      <c r="E24" s="16">
        <f t="shared" si="22"/>
        <v>5</v>
      </c>
      <c r="H24" s="16">
        <f t="shared" si="23"/>
        <v>143</v>
      </c>
      <c r="I24" s="13">
        <f t="shared" si="0"/>
        <v>-18.908013711993796</v>
      </c>
      <c r="J24" s="21">
        <f t="shared" si="24"/>
        <v>-18.955611944466579</v>
      </c>
      <c r="K24" s="21">
        <f t="shared" si="1"/>
        <v>10.733089786993162</v>
      </c>
      <c r="L24" s="13">
        <f t="shared" si="2"/>
        <v>3.350306846694167</v>
      </c>
      <c r="M24" s="6">
        <f t="shared" si="25"/>
        <v>2448399.5</v>
      </c>
      <c r="N24" s="22">
        <f t="shared" si="3"/>
        <v>-8.6119096509240253E-2</v>
      </c>
      <c r="O24" s="23">
        <f t="shared" si="4"/>
        <v>137.32341181738002</v>
      </c>
      <c r="P24" s="23">
        <f t="shared" si="5"/>
        <v>60.112680851967525</v>
      </c>
      <c r="Q24" s="23">
        <f t="shared" si="6"/>
        <v>1.2784030567124618</v>
      </c>
      <c r="R24" s="23">
        <f t="shared" si="7"/>
        <v>61.391083908679988</v>
      </c>
      <c r="S24" s="24">
        <f t="shared" si="8"/>
        <v>0.47882847959640484</v>
      </c>
      <c r="T24" s="16">
        <f t="shared" si="9"/>
        <v>0.80545839614809878</v>
      </c>
      <c r="U24" s="16">
        <f t="shared" si="10"/>
        <v>0.3492278041650288</v>
      </c>
      <c r="V24" s="24">
        <f t="shared" si="11"/>
        <v>0.9370378545171334</v>
      </c>
      <c r="W24" s="23">
        <f t="shared" si="12"/>
        <v>20.440091447668394</v>
      </c>
      <c r="X24" s="23">
        <f t="shared" si="13"/>
        <v>59.269385840293985</v>
      </c>
      <c r="Y24" s="23">
        <f t="shared" si="14"/>
        <v>250.10683058202267</v>
      </c>
      <c r="Z24" s="23">
        <f t="shared" si="15"/>
        <v>190.83744474172869</v>
      </c>
      <c r="AA24" s="24">
        <f t="shared" si="16"/>
        <v>-0.32404973988216518</v>
      </c>
      <c r="AB24" s="16">
        <f t="shared" si="17"/>
        <v>5</v>
      </c>
      <c r="AC24" s="25">
        <f t="shared" si="18"/>
        <v>-0.18802323267041637</v>
      </c>
      <c r="AD24" s="25">
        <f t="shared" si="19"/>
        <v>-0.99194440560188868</v>
      </c>
      <c r="AE24" s="25">
        <f t="shared" si="20"/>
        <v>190.73308978699316</v>
      </c>
      <c r="AF24" s="16">
        <v>23</v>
      </c>
      <c r="AG24" s="19">
        <f t="shared" si="21"/>
        <v>1.0123815949989632</v>
      </c>
    </row>
    <row r="25" spans="1:35" customFormat="1" ht="16">
      <c r="D25" s="12">
        <v>24</v>
      </c>
      <c r="E25" s="16">
        <f t="shared" si="22"/>
        <v>5</v>
      </c>
      <c r="H25" s="16">
        <f t="shared" si="23"/>
        <v>144</v>
      </c>
      <c r="I25" s="13">
        <f t="shared" si="0"/>
        <v>-18.719472530690254</v>
      </c>
      <c r="J25" s="21">
        <f t="shared" si="24"/>
        <v>-18.767542235951101</v>
      </c>
      <c r="K25" s="21">
        <f t="shared" si="1"/>
        <v>10.687412346826761</v>
      </c>
      <c r="L25" s="13">
        <f t="shared" si="2"/>
        <v>3.2698638485387335</v>
      </c>
      <c r="M25" s="6">
        <f t="shared" si="25"/>
        <v>2448400.5</v>
      </c>
      <c r="N25" s="22">
        <f t="shared" si="3"/>
        <v>-8.609171800136893E-2</v>
      </c>
      <c r="O25" s="23">
        <f t="shared" si="4"/>
        <v>138.3090121001137</v>
      </c>
      <c r="P25" s="23">
        <f t="shared" si="5"/>
        <v>61.098328210702221</v>
      </c>
      <c r="Q25" s="23">
        <f t="shared" si="6"/>
        <v>1.2540698546841942</v>
      </c>
      <c r="R25" s="23">
        <f t="shared" si="7"/>
        <v>62.352398065386417</v>
      </c>
      <c r="S25" s="24">
        <f t="shared" si="8"/>
        <v>0.46403214237034002</v>
      </c>
      <c r="T25" s="16">
        <f t="shared" si="9"/>
        <v>0.8127155177370895</v>
      </c>
      <c r="U25" s="16">
        <f t="shared" si="10"/>
        <v>0.35237431529061136</v>
      </c>
      <c r="V25" s="24">
        <f t="shared" si="11"/>
        <v>0.93585914641225409</v>
      </c>
      <c r="W25" s="23">
        <f t="shared" si="12"/>
        <v>20.632607787844901</v>
      </c>
      <c r="X25" s="23">
        <f t="shared" si="13"/>
        <v>60.275143948567539</v>
      </c>
      <c r="Y25" s="23">
        <f t="shared" si="14"/>
        <v>251.09247794630937</v>
      </c>
      <c r="Z25" s="23">
        <f t="shared" si="15"/>
        <v>190.81733399774183</v>
      </c>
      <c r="AA25" s="24">
        <f t="shared" si="16"/>
        <v>-0.32093489073448411</v>
      </c>
      <c r="AB25" s="16">
        <f t="shared" si="17"/>
        <v>5</v>
      </c>
      <c r="AC25" s="25">
        <f t="shared" si="18"/>
        <v>-0.18767848260653458</v>
      </c>
      <c r="AD25" s="25">
        <f t="shared" si="19"/>
        <v>-0.99445779940361845</v>
      </c>
      <c r="AE25" s="25">
        <f t="shared" si="20"/>
        <v>190.68741234682676</v>
      </c>
      <c r="AF25" s="16">
        <v>24</v>
      </c>
      <c r="AG25" s="19">
        <f t="shared" si="21"/>
        <v>1.0125640914473111</v>
      </c>
    </row>
    <row r="26" spans="1:35" customFormat="1" ht="16">
      <c r="D26" s="12">
        <v>25</v>
      </c>
      <c r="E26" s="16">
        <f t="shared" si="22"/>
        <v>5</v>
      </c>
      <c r="H26" s="16">
        <f t="shared" si="23"/>
        <v>145</v>
      </c>
      <c r="I26" s="13">
        <f t="shared" si="0"/>
        <v>-18.537022106739311</v>
      </c>
      <c r="J26" s="21">
        <f t="shared" si="24"/>
        <v>-18.585555266134975</v>
      </c>
      <c r="K26" s="21">
        <f t="shared" si="1"/>
        <v>10.640586811465596</v>
      </c>
      <c r="L26" s="13">
        <f t="shared" si="2"/>
        <v>3.1808707217985841</v>
      </c>
      <c r="M26" s="6">
        <f t="shared" si="25"/>
        <v>2448401.5</v>
      </c>
      <c r="N26" s="22">
        <f t="shared" si="3"/>
        <v>-8.6064339493497607E-2</v>
      </c>
      <c r="O26" s="23">
        <f t="shared" si="4"/>
        <v>139.29461238284694</v>
      </c>
      <c r="P26" s="23">
        <f t="shared" si="5"/>
        <v>62.083975569437825</v>
      </c>
      <c r="Q26" s="23">
        <f t="shared" si="6"/>
        <v>1.2293826499211218</v>
      </c>
      <c r="R26" s="23">
        <f t="shared" si="7"/>
        <v>63.313358219358946</v>
      </c>
      <c r="S26" s="24">
        <f t="shared" si="8"/>
        <v>0.44911070141412474</v>
      </c>
      <c r="T26" s="16">
        <f t="shared" si="9"/>
        <v>0.81974131579417142</v>
      </c>
      <c r="U26" s="16">
        <f t="shared" si="10"/>
        <v>0.3554205298732101</v>
      </c>
      <c r="V26" s="24">
        <f t="shared" si="11"/>
        <v>0.93470650310386016</v>
      </c>
      <c r="W26" s="23">
        <f t="shared" si="12"/>
        <v>20.819219880106729</v>
      </c>
      <c r="X26" s="23">
        <f t="shared" si="13"/>
        <v>61.283039588988181</v>
      </c>
      <c r="Y26" s="23">
        <f t="shared" si="14"/>
        <v>252.07812531082891</v>
      </c>
      <c r="Z26" s="23">
        <f t="shared" si="15"/>
        <v>190.79508572184074</v>
      </c>
      <c r="AA26" s="24">
        <f t="shared" si="16"/>
        <v>-0.31791735671464594</v>
      </c>
      <c r="AB26" s="16">
        <f t="shared" si="17"/>
        <v>5</v>
      </c>
      <c r="AC26" s="25">
        <f t="shared" si="18"/>
        <v>-0.18729706279077524</v>
      </c>
      <c r="AD26" s="25">
        <f t="shared" si="19"/>
        <v>-0.99690687482924378</v>
      </c>
      <c r="AE26" s="25">
        <f t="shared" si="20"/>
        <v>190.6405868114656</v>
      </c>
      <c r="AF26" s="16">
        <v>25</v>
      </c>
      <c r="AG26" s="19">
        <f t="shared" si="21"/>
        <v>1.0127438074463613</v>
      </c>
    </row>
    <row r="27" spans="1:35" customFormat="1" ht="16">
      <c r="D27" s="12">
        <v>26</v>
      </c>
      <c r="E27" s="16">
        <f t="shared" si="22"/>
        <v>5</v>
      </c>
      <c r="H27" s="16">
        <f t="shared" si="23"/>
        <v>146</v>
      </c>
      <c r="I27" s="13">
        <f t="shared" si="0"/>
        <v>-18.360718964564626</v>
      </c>
      <c r="J27" s="21">
        <f t="shared" si="24"/>
        <v>-18.40970683754384</v>
      </c>
      <c r="K27" s="21">
        <f t="shared" si="1"/>
        <v>10.592666693106707</v>
      </c>
      <c r="L27" s="13">
        <f t="shared" si="2"/>
        <v>3.0834983376708465</v>
      </c>
      <c r="M27" s="6">
        <f t="shared" si="25"/>
        <v>2448402.5</v>
      </c>
      <c r="N27" s="22">
        <f t="shared" si="3"/>
        <v>-8.6036960985626285E-2</v>
      </c>
      <c r="O27" s="23">
        <f t="shared" si="4"/>
        <v>140.28021266557971</v>
      </c>
      <c r="P27" s="23">
        <f t="shared" si="5"/>
        <v>63.06962292817343</v>
      </c>
      <c r="Q27" s="23">
        <f t="shared" si="6"/>
        <v>1.2043486470092233</v>
      </c>
      <c r="R27" s="23">
        <f t="shared" si="7"/>
        <v>64.273971575182657</v>
      </c>
      <c r="S27" s="24">
        <f t="shared" si="8"/>
        <v>0.43406838263799036</v>
      </c>
      <c r="T27" s="16">
        <f t="shared" si="9"/>
        <v>0.82653411783175623</v>
      </c>
      <c r="U27" s="16">
        <f t="shared" si="10"/>
        <v>0.35836572276672851</v>
      </c>
      <c r="V27" s="24">
        <f t="shared" si="11"/>
        <v>0.93358128127436246</v>
      </c>
      <c r="W27" s="23">
        <f t="shared" si="12"/>
        <v>20.999863338013476</v>
      </c>
      <c r="X27" s="23">
        <f t="shared" si="13"/>
        <v>62.293030043755721</v>
      </c>
      <c r="Y27" s="23">
        <f t="shared" si="14"/>
        <v>253.06377267534845</v>
      </c>
      <c r="Z27" s="23">
        <f t="shared" si="15"/>
        <v>190.77074263159273</v>
      </c>
      <c r="AA27" s="24">
        <f t="shared" si="16"/>
        <v>-0.31499842917257787</v>
      </c>
      <c r="AB27" s="16">
        <f t="shared" si="17"/>
        <v>5</v>
      </c>
      <c r="AC27" s="25">
        <f t="shared" si="18"/>
        <v>-0.1868796975608534</v>
      </c>
      <c r="AD27" s="25">
        <f t="shared" si="19"/>
        <v>-0.99929017641907625</v>
      </c>
      <c r="AE27" s="25">
        <f t="shared" si="20"/>
        <v>190.59266669310671</v>
      </c>
      <c r="AF27" s="16">
        <v>26</v>
      </c>
      <c r="AG27" s="19">
        <f t="shared" si="21"/>
        <v>1.0129208706356185</v>
      </c>
    </row>
    <row r="28" spans="1:35" s="28" customFormat="1" ht="16">
      <c r="A28"/>
      <c r="B28"/>
      <c r="C28"/>
      <c r="D28" s="12">
        <v>27</v>
      </c>
      <c r="E28" s="16">
        <f t="shared" si="22"/>
        <v>5</v>
      </c>
      <c r="F28"/>
      <c r="G28"/>
      <c r="H28" s="16">
        <f t="shared" si="23"/>
        <v>147</v>
      </c>
      <c r="I28" s="31">
        <f t="shared" si="0"/>
        <v>-18.190617626085153</v>
      </c>
      <c r="J28" s="21">
        <f t="shared" si="24"/>
        <v>-18.240050744924694</v>
      </c>
      <c r="K28" s="21">
        <f t="shared" si="1"/>
        <v>10.543707346218838</v>
      </c>
      <c r="L28" s="13">
        <f t="shared" si="2"/>
        <v>2.977930785208116</v>
      </c>
      <c r="M28" s="6">
        <f t="shared" si="25"/>
        <v>2448403.5</v>
      </c>
      <c r="N28" s="29">
        <f t="shared" si="3"/>
        <v>-8.6009582477754962E-2</v>
      </c>
      <c r="O28" s="6">
        <f t="shared" si="4"/>
        <v>141.26581294831249</v>
      </c>
      <c r="P28" s="6">
        <f t="shared" si="5"/>
        <v>64.055270286909945</v>
      </c>
      <c r="Q28" s="6">
        <f t="shared" si="6"/>
        <v>1.1789751339228294</v>
      </c>
      <c r="R28" s="23">
        <f t="shared" si="7"/>
        <v>65.234245420832778</v>
      </c>
      <c r="S28" s="30">
        <f t="shared" si="8"/>
        <v>0.41890943318074092</v>
      </c>
      <c r="T28" s="16">
        <f t="shared" si="9"/>
        <v>0.83309231394107497</v>
      </c>
      <c r="U28" s="12">
        <f t="shared" si="10"/>
        <v>0.36120919595782114</v>
      </c>
      <c r="V28" s="30">
        <f t="shared" si="11"/>
        <v>0.93248480778804343</v>
      </c>
      <c r="W28" s="6">
        <f t="shared" si="12"/>
        <v>21.17447546763654</v>
      </c>
      <c r="X28" s="23">
        <f t="shared" si="13"/>
        <v>63.305069290607918</v>
      </c>
      <c r="Y28" s="23">
        <f t="shared" si="14"/>
        <v>254.04942003986798</v>
      </c>
      <c r="Z28" s="23">
        <f t="shared" si="15"/>
        <v>190.74435074926006</v>
      </c>
      <c r="AA28" s="30">
        <f t="shared" si="16"/>
        <v>-0.31217935325128571</v>
      </c>
      <c r="AB28" s="16">
        <f t="shared" si="17"/>
        <v>5</v>
      </c>
      <c r="AC28" s="25">
        <f t="shared" si="18"/>
        <v>-0.18642716743269158</v>
      </c>
      <c r="AD28" s="25">
        <f t="shared" si="19"/>
        <v>-1.0016062573921609</v>
      </c>
      <c r="AE28" s="25">
        <f t="shared" si="20"/>
        <v>190.54370734621884</v>
      </c>
      <c r="AF28" s="16">
        <v>27</v>
      </c>
      <c r="AG28" s="19">
        <f t="shared" si="21"/>
        <v>1.0130953500188211</v>
      </c>
      <c r="AH28"/>
      <c r="AI28"/>
    </row>
    <row r="29" spans="1:35" customFormat="1" ht="16">
      <c r="D29" s="12">
        <v>28</v>
      </c>
      <c r="E29" s="16">
        <f t="shared" si="22"/>
        <v>5</v>
      </c>
      <c r="H29" s="16">
        <f t="shared" si="23"/>
        <v>148</v>
      </c>
      <c r="I29" s="13">
        <f t="shared" si="0"/>
        <v>-18.026770569713012</v>
      </c>
      <c r="J29" s="21">
        <f t="shared" si="24"/>
        <v>-18.076638736808349</v>
      </c>
      <c r="K29" s="21">
        <f t="shared" si="1"/>
        <v>10.493765918127593</v>
      </c>
      <c r="L29" s="13">
        <f t="shared" si="2"/>
        <v>2.8643652246427678</v>
      </c>
      <c r="M29" s="6">
        <f t="shared" si="25"/>
        <v>2448404.5</v>
      </c>
      <c r="N29" s="22">
        <f t="shared" si="3"/>
        <v>-8.5982203969883639E-2</v>
      </c>
      <c r="O29" s="23">
        <f t="shared" si="4"/>
        <v>142.25141323104481</v>
      </c>
      <c r="P29" s="23">
        <f t="shared" si="5"/>
        <v>65.040917645646459</v>
      </c>
      <c r="Q29" s="23">
        <f t="shared" si="6"/>
        <v>1.1532694800364349</v>
      </c>
      <c r="R29" s="23">
        <f t="shared" si="7"/>
        <v>66.194187125682888</v>
      </c>
      <c r="S29" s="24">
        <f t="shared" si="8"/>
        <v>0.40363812040675295</v>
      </c>
      <c r="T29" s="16">
        <f t="shared" si="9"/>
        <v>0.83941435684105825</v>
      </c>
      <c r="U29" s="16">
        <f t="shared" si="10"/>
        <v>0.36395027858708418</v>
      </c>
      <c r="V29" s="24">
        <f t="shared" si="11"/>
        <v>0.93141837791423454</v>
      </c>
      <c r="W29" s="23">
        <f t="shared" si="12"/>
        <v>21.342995328473535</v>
      </c>
      <c r="X29" s="23">
        <f t="shared" si="13"/>
        <v>64.319108039485769</v>
      </c>
      <c r="Y29" s="23">
        <f t="shared" si="14"/>
        <v>255.03506740438752</v>
      </c>
      <c r="Z29" s="23">
        <f t="shared" si="15"/>
        <v>190.71595936490175</v>
      </c>
      <c r="AA29" s="24">
        <f t="shared" si="16"/>
        <v>-0.30946132712418689</v>
      </c>
      <c r="AB29" s="16">
        <f t="shared" si="17"/>
        <v>5</v>
      </c>
      <c r="AC29" s="25">
        <f t="shared" si="18"/>
        <v>-0.18594030855161173</v>
      </c>
      <c r="AD29" s="25">
        <f t="shared" si="19"/>
        <v>-1.0038536824380007</v>
      </c>
      <c r="AE29" s="25">
        <f t="shared" si="20"/>
        <v>190.49376591812759</v>
      </c>
      <c r="AF29" s="16">
        <v>28</v>
      </c>
      <c r="AG29" s="19">
        <f t="shared" si="21"/>
        <v>1.0132672606788102</v>
      </c>
    </row>
    <row r="30" spans="1:35" customFormat="1" ht="16">
      <c r="D30" s="12">
        <f>H30-INT(275*E30/9)+IF($G$9="leap year",1,2)*INT((E30+9)/12)+30</f>
        <v>29</v>
      </c>
      <c r="E30" s="16">
        <f>IF(H30&lt;32,1,INT(9*IF($G$9="leap year",1+H30,2+H30)/275+0.98))</f>
        <v>5</v>
      </c>
      <c r="H30" s="16">
        <f t="shared" si="23"/>
        <v>149</v>
      </c>
      <c r="I30" s="13">
        <f t="shared" si="0"/>
        <v>-17.869228190357639</v>
      </c>
      <c r="J30" s="21">
        <f t="shared" si="24"/>
        <v>-17.919520478192027</v>
      </c>
      <c r="K30" s="21">
        <f t="shared" si="1"/>
        <v>10.442901297370327</v>
      </c>
      <c r="L30" s="13">
        <f t="shared" si="2"/>
        <v>2.7430117122156616</v>
      </c>
      <c r="M30" s="6">
        <f t="shared" si="25"/>
        <v>2448405.5</v>
      </c>
      <c r="N30" s="22">
        <f t="shared" si="3"/>
        <v>-8.5954825462012316E-2</v>
      </c>
      <c r="O30" s="23">
        <f t="shared" si="4"/>
        <v>143.23701351377713</v>
      </c>
      <c r="P30" s="23">
        <f t="shared" si="5"/>
        <v>66.026565004382974</v>
      </c>
      <c r="Q30" s="23">
        <f t="shared" si="6"/>
        <v>1.127239134132537</v>
      </c>
      <c r="R30" s="23">
        <f t="shared" si="7"/>
        <v>67.153804138515511</v>
      </c>
      <c r="S30" s="24">
        <f t="shared" si="8"/>
        <v>0.38825873091125157</v>
      </c>
      <c r="T30" s="16">
        <f t="shared" si="9"/>
        <v>0.84549876191720297</v>
      </c>
      <c r="U30" s="16">
        <f t="shared" si="10"/>
        <v>0.36658832696590499</v>
      </c>
      <c r="V30" s="24">
        <f t="shared" si="11"/>
        <v>0.9303832535747506</v>
      </c>
      <c r="W30" s="23">
        <f t="shared" si="12"/>
        <v>21.505363794101157</v>
      </c>
      <c r="X30" s="23">
        <f t="shared" si="13"/>
        <v>65.33509377632906</v>
      </c>
      <c r="Y30" s="23">
        <f t="shared" si="14"/>
        <v>256.02071476867422</v>
      </c>
      <c r="Z30" s="23">
        <f t="shared" si="15"/>
        <v>190.68562099234515</v>
      </c>
      <c r="AA30" s="24">
        <f t="shared" si="16"/>
        <v>-0.30684550126603233</v>
      </c>
      <c r="AB30" s="16">
        <f t="shared" si="17"/>
        <v>5</v>
      </c>
      <c r="AC30" s="25">
        <f t="shared" si="18"/>
        <v>-0.1854200120250756</v>
      </c>
      <c r="AD30" s="25">
        <f t="shared" si="19"/>
        <v>-1.0060310305657469</v>
      </c>
      <c r="AE30" s="25">
        <f t="shared" si="20"/>
        <v>190.44290129737033</v>
      </c>
      <c r="AF30" s="16">
        <v>29</v>
      </c>
      <c r="AG30" s="19">
        <f t="shared" si="21"/>
        <v>1.0134365712549298</v>
      </c>
    </row>
    <row r="31" spans="1:35" customFormat="1" ht="16">
      <c r="D31" s="12">
        <f>H31-INT(275*E31/9)+IF($G$9="leap year",1,2)*INT((E31+9)/12)+30</f>
        <v>30</v>
      </c>
      <c r="E31" s="16">
        <f>IF(H31&lt;32,1,INT(9*IF($G$9="leap year",1+H31,2+H31)/275+0.98))</f>
        <v>5</v>
      </c>
      <c r="H31" s="16">
        <f t="shared" si="23"/>
        <v>150</v>
      </c>
      <c r="I31" s="13">
        <f t="shared" si="0"/>
        <v>-17.718038760396933</v>
      </c>
      <c r="J31" s="21">
        <f t="shared" si="24"/>
        <v>-17.768743514284132</v>
      </c>
      <c r="K31" s="21">
        <f t="shared" si="1"/>
        <v>10.391174060970798</v>
      </c>
      <c r="L31" s="13">
        <f t="shared" si="2"/>
        <v>2.6140929960798758</v>
      </c>
      <c r="M31" s="6">
        <f t="shared" si="25"/>
        <v>2448406.5</v>
      </c>
      <c r="N31" s="22">
        <f t="shared" si="3"/>
        <v>-8.5927446954140993E-2</v>
      </c>
      <c r="O31" s="23">
        <f t="shared" si="4"/>
        <v>144.2226137965099</v>
      </c>
      <c r="P31" s="23">
        <f t="shared" si="5"/>
        <v>67.012212363120852</v>
      </c>
      <c r="Q31" s="23">
        <f t="shared" si="6"/>
        <v>1.1008916224059619</v>
      </c>
      <c r="R31" s="23">
        <f t="shared" si="7"/>
        <v>68.11310398552682</v>
      </c>
      <c r="S31" s="24">
        <f t="shared" si="8"/>
        <v>0.3727755695339659</v>
      </c>
      <c r="T31" s="16">
        <f t="shared" si="9"/>
        <v>0.8513441072507314</v>
      </c>
      <c r="U31" s="16">
        <f t="shared" si="10"/>
        <v>0.36912272458910267</v>
      </c>
      <c r="V31" s="24">
        <f t="shared" si="11"/>
        <v>0.92938066161929445</v>
      </c>
      <c r="W31" s="23">
        <f t="shared" si="12"/>
        <v>21.661523612389111</v>
      </c>
      <c r="X31" s="23">
        <f t="shared" si="13"/>
        <v>66.352970814100885</v>
      </c>
      <c r="Y31" s="23">
        <f t="shared" si="14"/>
        <v>257.00636213319376</v>
      </c>
      <c r="Z31" s="23">
        <f t="shared" si="15"/>
        <v>190.65339131909286</v>
      </c>
      <c r="AA31" s="24">
        <f t="shared" si="16"/>
        <v>-0.30433297775570811</v>
      </c>
      <c r="AB31" s="16">
        <f t="shared" si="17"/>
        <v>5</v>
      </c>
      <c r="AC31" s="25">
        <f t="shared" si="18"/>
        <v>-0.18486722315456783</v>
      </c>
      <c r="AD31" s="25">
        <f t="shared" si="19"/>
        <v>-1.0081368979979519</v>
      </c>
      <c r="AE31" s="25">
        <f t="shared" si="20"/>
        <v>190.3911740609708</v>
      </c>
      <c r="AF31" s="16">
        <v>30</v>
      </c>
      <c r="AG31" s="19">
        <f t="shared" si="21"/>
        <v>1.0136032118668254</v>
      </c>
    </row>
    <row r="32" spans="1:35" customFormat="1" ht="16">
      <c r="D32" s="12">
        <f>H32-INT(275*E32/9)+IF($G$9="leap year",1,2)*INT((E32+9)/12)+30</f>
        <v>31</v>
      </c>
      <c r="E32" s="16">
        <f>IF(H32&lt;32,1,INT(9*IF($G$9="leap year",1+H32,2+H32)/275+0.98))</f>
        <v>5</v>
      </c>
      <c r="H32" s="16">
        <f t="shared" si="23"/>
        <v>151</v>
      </c>
      <c r="I32" s="13">
        <f t="shared" si="0"/>
        <v>-17.573248392143928</v>
      </c>
      <c r="J32" s="21">
        <f t="shared" si="24"/>
        <v>-17.624353235817512</v>
      </c>
      <c r="K32" s="21">
        <f t="shared" si="1"/>
        <v>10.338646417043321</v>
      </c>
      <c r="L32" s="13">
        <f t="shared" si="2"/>
        <v>2.4778442829544929</v>
      </c>
      <c r="M32" s="6">
        <f t="shared" si="25"/>
        <v>2448407.5</v>
      </c>
      <c r="N32" s="22">
        <f t="shared" si="3"/>
        <v>-8.5900068446269684E-2</v>
      </c>
      <c r="O32" s="23">
        <f t="shared" si="4"/>
        <v>145.20821407924041</v>
      </c>
      <c r="P32" s="23">
        <f t="shared" si="5"/>
        <v>67.997859721858276</v>
      </c>
      <c r="Q32" s="23">
        <f t="shared" si="6"/>
        <v>1.0742345464649505</v>
      </c>
      <c r="R32" s="23">
        <f t="shared" si="7"/>
        <v>69.072094268323227</v>
      </c>
      <c r="S32" s="24">
        <f t="shared" si="8"/>
        <v>0.35719295838114962</v>
      </c>
      <c r="T32" s="16">
        <f t="shared" si="9"/>
        <v>0.85694903363839148</v>
      </c>
      <c r="U32" s="16">
        <f t="shared" si="10"/>
        <v>0.37155288214351045</v>
      </c>
      <c r="V32" s="24">
        <f t="shared" si="11"/>
        <v>0.92841179213259173</v>
      </c>
      <c r="W32" s="23">
        <f t="shared" si="12"/>
        <v>21.811419465095231</v>
      </c>
      <c r="X32" s="23">
        <f t="shared" si="13"/>
        <v>67.372680351119655</v>
      </c>
      <c r="Y32" s="23">
        <f t="shared" si="14"/>
        <v>257.99200949748047</v>
      </c>
      <c r="Z32" s="23">
        <f t="shared" si="15"/>
        <v>190.61932914636083</v>
      </c>
      <c r="AA32" s="24">
        <f t="shared" si="16"/>
        <v>-0.301924809618623</v>
      </c>
      <c r="AB32" s="16">
        <f t="shared" si="17"/>
        <v>5</v>
      </c>
      <c r="AC32" s="25">
        <f t="shared" si="18"/>
        <v>-0.18428294050067512</v>
      </c>
      <c r="AD32" s="25">
        <f t="shared" si="19"/>
        <v>-1.0101699011075189</v>
      </c>
      <c r="AE32" s="25">
        <f t="shared" si="20"/>
        <v>190.33864641704332</v>
      </c>
      <c r="AF32" s="16">
        <v>31</v>
      </c>
      <c r="AG32" s="19">
        <f t="shared" si="21"/>
        <v>1.0137670804745029</v>
      </c>
    </row>
    <row r="33" spans="1:37" customFormat="1" ht="16">
      <c r="A33" s="16"/>
      <c r="B33" s="16"/>
      <c r="C33" s="23"/>
      <c r="E33" s="16"/>
      <c r="H33" s="16"/>
      <c r="I33" s="32"/>
      <c r="L33" s="13"/>
      <c r="AG33" s="19"/>
    </row>
    <row r="34" spans="1:37" customFormat="1" ht="16">
      <c r="A34" s="16"/>
      <c r="B34" s="16"/>
      <c r="C34" s="23"/>
      <c r="E34" s="16"/>
      <c r="H34" s="16"/>
      <c r="I34" s="32"/>
      <c r="L34" s="13"/>
      <c r="AG34" s="19"/>
      <c r="AJ34">
        <v>573</v>
      </c>
      <c r="AK34">
        <v>302</v>
      </c>
    </row>
    <row r="35" spans="1:37" customFormat="1" ht="16">
      <c r="A35" s="16"/>
      <c r="B35" s="16"/>
      <c r="C35" s="23"/>
      <c r="E35" s="16"/>
      <c r="H35" s="16"/>
      <c r="I35" s="32"/>
      <c r="L35" s="13"/>
      <c r="AG35" s="19"/>
    </row>
    <row r="36" spans="1:37" ht="16">
      <c r="D36"/>
      <c r="I36" s="32"/>
      <c r="J36"/>
      <c r="K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C36"/>
      <c r="AD36"/>
      <c r="AE36"/>
    </row>
    <row r="37" spans="1:37" ht="16">
      <c r="D37"/>
      <c r="I37" s="32"/>
      <c r="J37"/>
      <c r="K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C37"/>
      <c r="AD37"/>
      <c r="AE37"/>
    </row>
    <row r="38" spans="1:37" ht="16">
      <c r="D38"/>
      <c r="I38" s="32"/>
      <c r="J38"/>
      <c r="K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C38"/>
      <c r="AD38"/>
      <c r="AE38"/>
    </row>
    <row r="39" spans="1:37" ht="16">
      <c r="D39"/>
      <c r="I39" s="32"/>
      <c r="J39"/>
      <c r="K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C39"/>
      <c r="AD39"/>
      <c r="AE39"/>
    </row>
    <row r="40" spans="1:37" ht="16">
      <c r="D40"/>
      <c r="I40" s="32"/>
      <c r="J40"/>
      <c r="K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C40"/>
      <c r="AD40"/>
      <c r="AE40"/>
    </row>
    <row r="41" spans="1:37" ht="16">
      <c r="D41"/>
      <c r="I41" s="32"/>
      <c r="J41"/>
      <c r="K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C41"/>
      <c r="AD41"/>
      <c r="AE41"/>
    </row>
    <row r="42" spans="1:37" ht="16">
      <c r="D42"/>
      <c r="I42" s="32"/>
      <c r="J42"/>
      <c r="K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C42"/>
      <c r="AD42"/>
      <c r="AE42"/>
    </row>
    <row r="43" spans="1:37" ht="16">
      <c r="D43"/>
      <c r="I43" s="32"/>
      <c r="J43"/>
      <c r="K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C43"/>
      <c r="AD43"/>
      <c r="AE43"/>
    </row>
    <row r="44" spans="1:37" ht="16">
      <c r="D44"/>
      <c r="I44" s="32"/>
      <c r="J44"/>
      <c r="K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C44"/>
      <c r="AD44"/>
      <c r="AE44"/>
    </row>
    <row r="45" spans="1:37" ht="16">
      <c r="D45"/>
      <c r="I45" s="32"/>
      <c r="J45"/>
      <c r="K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C45"/>
      <c r="AD45"/>
      <c r="AE45"/>
    </row>
    <row r="46" spans="1:37" ht="16">
      <c r="D46"/>
      <c r="I46" s="32"/>
      <c r="J46"/>
      <c r="K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C46"/>
      <c r="AD46"/>
      <c r="AE46"/>
    </row>
    <row r="47" spans="1:37" ht="16">
      <c r="D47"/>
      <c r="I47" s="32"/>
      <c r="J47"/>
      <c r="K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C47"/>
      <c r="AD47"/>
      <c r="AE47"/>
    </row>
    <row r="48" spans="1:37" ht="16">
      <c r="D48"/>
      <c r="I48" s="32"/>
      <c r="J48"/>
      <c r="K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C48"/>
      <c r="AD48"/>
      <c r="AE48"/>
    </row>
    <row r="49" spans="4:31" ht="16">
      <c r="D49"/>
      <c r="I49" s="32"/>
      <c r="J49"/>
      <c r="K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C49"/>
      <c r="AD49"/>
      <c r="AE49"/>
    </row>
    <row r="50" spans="4:31" ht="16">
      <c r="D50"/>
      <c r="I50" s="32"/>
      <c r="J50"/>
      <c r="K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C50"/>
      <c r="AD50"/>
      <c r="AE50"/>
    </row>
    <row r="51" spans="4:31" ht="16">
      <c r="D51"/>
      <c r="I51" s="32"/>
      <c r="M51"/>
      <c r="N51"/>
    </row>
  </sheetData>
  <pageMargins left="0" right="0" top="0.39370078740157477" bottom="0.39370078740157477" header="0" footer="0"/>
  <headerFooter>
    <oddHeader>&amp;C&amp;A</oddHeader>
    <oddFooter>&amp;CSeite &amp;P</oddFooter>
  </headerFooter>
  <drawing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50"/>
  <sheetViews>
    <sheetView workbookViewId="0"/>
  </sheetViews>
  <sheetFormatPr baseColWidth="10" defaultRowHeight="15"/>
  <cols>
    <col min="1" max="5" width="14.1640625" customWidth="1"/>
    <col min="6" max="6" width="11.6640625" style="16" customWidth="1"/>
    <col min="7" max="7" width="13.83203125" style="16" customWidth="1"/>
    <col min="8" max="8" width="13" style="40" customWidth="1"/>
    <col min="9" max="9" width="13.83203125" style="31" customWidth="1"/>
  </cols>
  <sheetData>
    <row r="1" spans="1:9" ht="16">
      <c r="A1" s="2" t="str">
        <f>input!$C$1</f>
        <v>UT</v>
      </c>
      <c r="B1" s="1" t="str">
        <f>input!$D$1</f>
        <v>Month</v>
      </c>
      <c r="C1" s="1" t="str">
        <f>input!$E$1</f>
        <v>Year</v>
      </c>
      <c r="D1" s="1" t="str">
        <f>input!$F$1</f>
        <v>Lat.:</v>
      </c>
      <c r="E1" s="1" t="str">
        <f>input!$G$1</f>
        <v>Long.:</v>
      </c>
      <c r="F1" s="10" t="str">
        <f>calc!$D$1</f>
        <v>Date</v>
      </c>
      <c r="G1" s="10" t="str">
        <f>calc!$E$1</f>
        <v>Month</v>
      </c>
      <c r="H1" s="36" t="str">
        <f>calc!$J$1</f>
        <v>elevRefr</v>
      </c>
      <c r="I1" s="13" t="str">
        <f>calc!$K$1</f>
        <v>az</v>
      </c>
    </row>
    <row r="2" spans="1:9" ht="16">
      <c r="A2" s="6">
        <f>input!$C$2</f>
        <v>0</v>
      </c>
      <c r="B2" s="37">
        <f>input!$D$2</f>
        <v>5</v>
      </c>
      <c r="C2" s="37">
        <f>input!$E$2</f>
        <v>1991</v>
      </c>
      <c r="D2" s="37">
        <f>input!$F$2</f>
        <v>50</v>
      </c>
      <c r="E2" s="37">
        <f>input!$G$2</f>
        <v>10</v>
      </c>
      <c r="F2" s="16">
        <f>calc!$D$2</f>
        <v>1</v>
      </c>
      <c r="G2" s="16">
        <f>calc!$E$2</f>
        <v>5</v>
      </c>
      <c r="H2" s="38">
        <f>calc!$J$2</f>
        <v>-24.496499295582442</v>
      </c>
      <c r="I2" s="21">
        <f>calc!$K$2</f>
        <v>11.36511242316098</v>
      </c>
    </row>
    <row r="3" spans="1:9" ht="16">
      <c r="A3" s="16" t="s">
        <v>37</v>
      </c>
      <c r="B3" s="16" t="s">
        <v>37</v>
      </c>
      <c r="C3" s="16" t="s">
        <v>37</v>
      </c>
      <c r="D3" s="16" t="s">
        <v>37</v>
      </c>
      <c r="E3" s="16" t="s">
        <v>37</v>
      </c>
      <c r="F3" s="16">
        <f>calc!$D$3</f>
        <v>2</v>
      </c>
      <c r="G3" s="16">
        <f>calc!$E$2</f>
        <v>5</v>
      </c>
      <c r="H3" s="38">
        <f>calc!$J$3</f>
        <v>-24.19225559409422</v>
      </c>
      <c r="I3" s="21">
        <f>calc!$K$3</f>
        <v>11.354022442949002</v>
      </c>
    </row>
    <row r="4" spans="1:9" ht="16">
      <c r="F4" s="16">
        <f>calc!$D$4</f>
        <v>3</v>
      </c>
      <c r="G4" s="16">
        <f>calc!$E$2</f>
        <v>5</v>
      </c>
      <c r="H4" s="38">
        <f>calc!$J$4</f>
        <v>-23.892445490236167</v>
      </c>
      <c r="I4" s="21">
        <f>calc!$K$4</f>
        <v>11.341145898373441</v>
      </c>
    </row>
    <row r="5" spans="1:9" ht="16">
      <c r="F5" s="16">
        <f>calc!$D$5</f>
        <v>4</v>
      </c>
      <c r="G5" s="16">
        <f>calc!$E$2</f>
        <v>5</v>
      </c>
      <c r="H5" s="38">
        <f>calc!$J$5</f>
        <v>-23.597158032367201</v>
      </c>
      <c r="I5" s="21">
        <f>calc!$K$5</f>
        <v>11.326487517682295</v>
      </c>
    </row>
    <row r="6" spans="1:9" ht="16">
      <c r="F6" s="16">
        <f>calc!$D$6</f>
        <v>5</v>
      </c>
      <c r="G6" s="16">
        <f>calc!$E$2</f>
        <v>5</v>
      </c>
      <c r="H6" s="38">
        <f>calc!$J$6</f>
        <v>-23.306481217838119</v>
      </c>
      <c r="I6" s="21">
        <f>calc!$K$6</f>
        <v>11.310054454824495</v>
      </c>
    </row>
    <row r="7" spans="1:9" ht="16">
      <c r="F7" s="16">
        <f>calc!$D$7</f>
        <v>6</v>
      </c>
      <c r="G7" s="16">
        <f>calc!$E$2</f>
        <v>5</v>
      </c>
      <c r="H7" s="38">
        <f>calc!$J$7</f>
        <v>-23.020501951659966</v>
      </c>
      <c r="I7" s="21">
        <f>calc!$K$7</f>
        <v>11.291856277101147</v>
      </c>
    </row>
    <row r="8" spans="1:9" ht="16">
      <c r="F8" s="16">
        <f>calc!$D$8</f>
        <v>7</v>
      </c>
      <c r="G8" s="16">
        <f>calc!$E$2</f>
        <v>5</v>
      </c>
      <c r="H8" s="38">
        <f>calc!$J$8</f>
        <v>-22.739306004037864</v>
      </c>
      <c r="I8" s="21">
        <f>calc!$K$8</f>
        <v>11.271904955497462</v>
      </c>
    </row>
    <row r="9" spans="1:9" ht="16">
      <c r="F9" s="16">
        <f>calc!$D$9</f>
        <v>8</v>
      </c>
      <c r="G9" s="16">
        <f>calc!$E$2</f>
        <v>5</v>
      </c>
      <c r="H9" s="38">
        <f>calc!$J$9</f>
        <v>-22.462977967711698</v>
      </c>
      <c r="I9" s="21">
        <f>calc!$K$9</f>
        <v>11.25021485033912</v>
      </c>
    </row>
    <row r="10" spans="1:9" ht="16">
      <c r="F10" s="16">
        <f>calc!$D$10</f>
        <v>9</v>
      </c>
      <c r="G10" s="16">
        <f>calc!$E$2</f>
        <v>5</v>
      </c>
      <c r="H10" s="38">
        <f>calc!$J$10</f>
        <v>-22.191601214436449</v>
      </c>
      <c r="I10" s="21">
        <f>calc!$K$10</f>
        <v>11.226802698215835</v>
      </c>
    </row>
    <row r="11" spans="1:9" ht="16">
      <c r="F11" s="16">
        <f>calc!$D$11</f>
        <v>10</v>
      </c>
      <c r="G11" s="16">
        <f>calc!$E$2</f>
        <v>5</v>
      </c>
      <c r="H11" s="38">
        <f>calc!$J$11</f>
        <v>-21.925257850969015</v>
      </c>
      <c r="I11" s="21">
        <f>calc!$K$11</f>
        <v>11.20168759766679</v>
      </c>
    </row>
    <row r="12" spans="1:9" ht="16">
      <c r="F12" s="16">
        <f>calc!$D$12</f>
        <v>11</v>
      </c>
      <c r="G12" s="16">
        <f>calc!$E$2</f>
        <v>5</v>
      </c>
      <c r="H12" s="38">
        <f>calc!$J$12</f>
        <v>-21.66402867489294</v>
      </c>
      <c r="I12" s="21">
        <f>calc!$K$12</f>
        <v>11.174890991393625</v>
      </c>
    </row>
    <row r="13" spans="1:9" ht="16">
      <c r="F13" s="16">
        <f>calc!$D$13</f>
        <v>12</v>
      </c>
      <c r="G13" s="16">
        <f>calc!$E$2</f>
        <v>5</v>
      </c>
      <c r="H13" s="38">
        <f>calc!$J$13</f>
        <v>-21.407993129806187</v>
      </c>
      <c r="I13" s="21">
        <f>calc!$K$13</f>
        <v>11.14643664945271</v>
      </c>
    </row>
    <row r="14" spans="1:9" ht="16">
      <c r="F14" s="16">
        <f>calc!$D$14</f>
        <v>13</v>
      </c>
      <c r="G14" s="16">
        <f>calc!$E$2</f>
        <v>5</v>
      </c>
      <c r="H14" s="38">
        <f>calc!$J$14</f>
        <v>-21.157229260387865</v>
      </c>
      <c r="I14" s="21">
        <f>calc!$K$14</f>
        <v>11.116350649760051</v>
      </c>
    </row>
    <row r="15" spans="1:9" ht="16">
      <c r="F15" s="16">
        <f>calc!$D$15</f>
        <v>14</v>
      </c>
      <c r="G15" s="16">
        <f>calc!$E$2</f>
        <v>5</v>
      </c>
      <c r="H15" s="38">
        <f>calc!$J$15</f>
        <v>-20.91181366727896</v>
      </c>
      <c r="I15" s="21">
        <f>calc!$K$15</f>
        <v>11.084661357014625</v>
      </c>
    </row>
    <row r="16" spans="1:9" ht="16">
      <c r="F16" s="16">
        <f>calc!$D$16</f>
        <v>15</v>
      </c>
      <c r="G16" s="16">
        <f>calc!$E$2</f>
        <v>5</v>
      </c>
      <c r="H16" s="38">
        <f>calc!$J$16</f>
        <v>-20.671821461720011</v>
      </c>
      <c r="I16" s="21">
        <f>calc!$K$16</f>
        <v>11.051399401145176</v>
      </c>
    </row>
    <row r="17" spans="6:9" ht="16">
      <c r="F17" s="16">
        <f>calc!$D$17</f>
        <v>16</v>
      </c>
      <c r="G17" s="16">
        <f>calc!$E$2</f>
        <v>5</v>
      </c>
      <c r="H17" s="38">
        <f>calc!$J$17</f>
        <v>-20.437326220490295</v>
      </c>
      <c r="I17" s="21">
        <f>calc!$K$17</f>
        <v>11.016597651437337</v>
      </c>
    </row>
    <row r="18" spans="6:9" ht="16">
      <c r="F18" s="16">
        <f>calc!$D$18</f>
        <v>17</v>
      </c>
      <c r="G18" s="16">
        <f>calc!$E$2</f>
        <v>5</v>
      </c>
      <c r="H18" s="38">
        <f>calc!$J$18</f>
        <v>-20.208399940490224</v>
      </c>
      <c r="I18" s="21">
        <f>calc!$K$18</f>
        <v>10.980291192361165</v>
      </c>
    </row>
    <row r="19" spans="6:9" ht="16">
      <c r="F19" s="16">
        <f>calc!$D$19</f>
        <v>18</v>
      </c>
      <c r="G19" s="16">
        <f>calc!$E$2</f>
        <v>5</v>
      </c>
      <c r="H19" s="38">
        <f>calc!$J$19</f>
        <v>-19.985112993918211</v>
      </c>
      <c r="I19" s="21">
        <f>calc!$K$19</f>
        <v>10.942517294026629</v>
      </c>
    </row>
    <row r="20" spans="6:9" ht="16">
      <c r="F20" s="16">
        <f>calc!$D$20</f>
        <v>19</v>
      </c>
      <c r="G20" s="16">
        <f>calc!$E$2</f>
        <v>5</v>
      </c>
      <c r="H20" s="38">
        <f>calc!$J$20</f>
        <v>-19.767534083385378</v>
      </c>
      <c r="I20" s="21">
        <f>calc!$K$20</f>
        <v>10.903315383253158</v>
      </c>
    </row>
    <row r="21" spans="6:9" ht="16">
      <c r="F21" s="16">
        <f>calc!$D$21</f>
        <v>20</v>
      </c>
      <c r="G21" s="16">
        <f>calc!$E$2</f>
        <v>5</v>
      </c>
      <c r="H21" s="38">
        <f>calc!$J$21</f>
        <v>-19.555730197519296</v>
      </c>
      <c r="I21" s="21">
        <f>calc!$K$21</f>
        <v>10.862727011484935</v>
      </c>
    </row>
    <row r="22" spans="6:9" ht="16">
      <c r="F22" s="16">
        <f>calc!$D$22</f>
        <v>21</v>
      </c>
      <c r="G22" s="16">
        <f>calc!$E$2</f>
        <v>5</v>
      </c>
      <c r="H22" s="38">
        <f>calc!$J$22</f>
        <v>-19.349766567002458</v>
      </c>
      <c r="I22" s="21">
        <f>calc!$K$22</f>
        <v>10.820795820653075</v>
      </c>
    </row>
    <row r="23" spans="6:9" ht="16">
      <c r="F23" s="16">
        <f>calc!$D$23</f>
        <v>22</v>
      </c>
      <c r="G23" s="16">
        <f>calc!$E$2</f>
        <v>5</v>
      </c>
      <c r="H23" s="38">
        <f>calc!$J$23</f>
        <v>-19.149706620996898</v>
      </c>
      <c r="I23" s="21">
        <f>calc!$K$23</f>
        <v>10.777567508086833</v>
      </c>
    </row>
    <row r="24" spans="6:9" ht="16">
      <c r="F24" s="16">
        <f>calc!$D$24</f>
        <v>23</v>
      </c>
      <c r="G24" s="16">
        <f>calc!$E$2</f>
        <v>5</v>
      </c>
      <c r="H24" s="38">
        <f>calc!$J$24</f>
        <v>-18.955611944466579</v>
      </c>
      <c r="I24" s="21">
        <f>calc!$K$24</f>
        <v>10.733089786993162</v>
      </c>
    </row>
    <row r="25" spans="6:9" ht="16">
      <c r="F25" s="16">
        <f>calc!$D$25</f>
        <v>24</v>
      </c>
      <c r="G25" s="16">
        <f>calc!$E$2</f>
        <v>5</v>
      </c>
      <c r="H25" s="38">
        <f>calc!$J$25</f>
        <v>-18.767542235951101</v>
      </c>
      <c r="I25" s="21">
        <f>calc!$K$25</f>
        <v>10.687412346826761</v>
      </c>
    </row>
    <row r="26" spans="6:9" ht="16">
      <c r="F26" s="16">
        <f>calc!$D$26</f>
        <v>25</v>
      </c>
      <c r="G26" s="16">
        <f>calc!$E$2</f>
        <v>5</v>
      </c>
      <c r="H26" s="38">
        <f>calc!$J$26</f>
        <v>-18.585555266134975</v>
      </c>
      <c r="I26" s="21">
        <f>calc!$K$26</f>
        <v>10.640586811465596</v>
      </c>
    </row>
    <row r="27" spans="6:9" ht="16">
      <c r="F27" s="16">
        <f>calc!$D$27</f>
        <v>26</v>
      </c>
      <c r="G27" s="16">
        <f>calc!$E$2</f>
        <v>5</v>
      </c>
      <c r="H27" s="38">
        <f>calc!$J$27</f>
        <v>-18.40970683754384</v>
      </c>
      <c r="I27" s="21">
        <f>calc!$K$27</f>
        <v>10.592666693106707</v>
      </c>
    </row>
    <row r="28" spans="6:9" ht="16">
      <c r="F28" s="16">
        <f>calc!$D$28</f>
        <v>27</v>
      </c>
      <c r="G28" s="16">
        <f>calc!$E$2</f>
        <v>5</v>
      </c>
      <c r="H28" s="38">
        <f>calc!$J$28</f>
        <v>-18.240050744924694</v>
      </c>
      <c r="I28" s="21">
        <f>calc!$K$28</f>
        <v>10.543707346218838</v>
      </c>
    </row>
    <row r="29" spans="6:9" ht="16">
      <c r="F29" s="16">
        <f>calc!$D$29</f>
        <v>28</v>
      </c>
      <c r="G29" s="16">
        <f>calc!$E$2</f>
        <v>5</v>
      </c>
      <c r="H29" s="38">
        <f>calc!$J$29</f>
        <v>-18.076638736808349</v>
      </c>
      <c r="I29" s="21">
        <f>calc!$K$29</f>
        <v>10.493765918127593</v>
      </c>
    </row>
    <row r="30" spans="6:9" ht="16">
      <c r="F30" s="16">
        <f>calc!$D$30</f>
        <v>29</v>
      </c>
      <c r="G30" s="16">
        <f>calc!$E$30</f>
        <v>5</v>
      </c>
      <c r="H30" s="38">
        <f>calc!$J$30</f>
        <v>-17.919520478192027</v>
      </c>
      <c r="I30" s="21">
        <f>calc!$K$30</f>
        <v>10.442901297370327</v>
      </c>
    </row>
    <row r="31" spans="6:9" ht="16">
      <c r="F31" s="16">
        <f>calc!$D$31</f>
        <v>30</v>
      </c>
      <c r="G31" s="16">
        <f>calc!$E$31</f>
        <v>5</v>
      </c>
      <c r="H31" s="38">
        <f>calc!$J$31</f>
        <v>-17.768743514284132</v>
      </c>
      <c r="I31" s="21">
        <f>calc!$K$31</f>
        <v>10.391174060970798</v>
      </c>
    </row>
    <row r="32" spans="6:9" ht="16">
      <c r="F32" s="16">
        <f>calc!$D$32</f>
        <v>31</v>
      </c>
      <c r="G32" s="16">
        <f>calc!$E$32</f>
        <v>5</v>
      </c>
      <c r="H32" s="38">
        <f>calc!$J$32</f>
        <v>-17.624353235817512</v>
      </c>
      <c r="I32" s="21">
        <f>calc!$K$32</f>
        <v>10.338646417043321</v>
      </c>
    </row>
    <row r="33" spans="8:9" ht="16">
      <c r="H33" s="39"/>
      <c r="I33"/>
    </row>
    <row r="34" spans="8:9" ht="16">
      <c r="H34" s="39"/>
      <c r="I34"/>
    </row>
    <row r="35" spans="8:9" ht="16">
      <c r="H35" s="39"/>
      <c r="I35"/>
    </row>
    <row r="36" spans="8:9" ht="16">
      <c r="H36" s="39"/>
      <c r="I36"/>
    </row>
    <row r="37" spans="8:9" ht="16">
      <c r="H37" s="39"/>
      <c r="I37"/>
    </row>
    <row r="38" spans="8:9" ht="16">
      <c r="H38" s="39"/>
      <c r="I38"/>
    </row>
    <row r="39" spans="8:9" ht="16">
      <c r="H39" s="39"/>
      <c r="I39"/>
    </row>
    <row r="40" spans="8:9" ht="16">
      <c r="H40" s="39"/>
      <c r="I40"/>
    </row>
    <row r="41" spans="8:9" ht="16">
      <c r="H41" s="39"/>
      <c r="I41"/>
    </row>
    <row r="42" spans="8:9" ht="16">
      <c r="H42" s="39"/>
      <c r="I42"/>
    </row>
    <row r="43" spans="8:9" ht="16">
      <c r="H43" s="39"/>
      <c r="I43"/>
    </row>
    <row r="44" spans="8:9" ht="16">
      <c r="H44" s="39"/>
      <c r="I44"/>
    </row>
    <row r="45" spans="8:9" ht="16">
      <c r="H45" s="39"/>
      <c r="I45"/>
    </row>
    <row r="46" spans="8:9" ht="16">
      <c r="H46" s="39"/>
      <c r="I46"/>
    </row>
    <row r="47" spans="8:9" ht="16">
      <c r="H47" s="39"/>
      <c r="I47"/>
    </row>
    <row r="48" spans="8:9" ht="16">
      <c r="H48" s="39"/>
      <c r="I48"/>
    </row>
    <row r="49" spans="8:9" ht="16">
      <c r="H49" s="39"/>
      <c r="I49"/>
    </row>
    <row r="50" spans="8:9" ht="16">
      <c r="H50" s="39"/>
      <c r="I50"/>
    </row>
  </sheetData>
  <pageMargins left="0" right="0" top="0.39370078740157477" bottom="0.39370078740157477" header="0" footer="0"/>
  <headerFooter>
    <oddHeader>&amp;C&amp;A</oddHeader>
    <oddFooter>&amp;CSeite &amp;P</oddFooter>
  </headerFooter>
  <drawing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51"/>
  <sheetViews>
    <sheetView workbookViewId="0"/>
  </sheetViews>
  <sheetFormatPr baseColWidth="10" defaultRowHeight="15"/>
  <cols>
    <col min="1" max="3" width="14.1640625" customWidth="1"/>
    <col min="4" max="4" width="10.33203125" style="33" customWidth="1"/>
    <col min="5" max="5" width="13.6640625" style="16" customWidth="1"/>
    <col min="6" max="6" width="13.6640625" customWidth="1"/>
    <col min="7" max="7" width="13.6640625" style="13" customWidth="1"/>
    <col min="8" max="8" width="9.83203125" style="16" customWidth="1"/>
  </cols>
  <sheetData>
    <row r="1" spans="1:8" ht="16">
      <c r="A1" s="2" t="str">
        <f>input!$C$1</f>
        <v>UT</v>
      </c>
      <c r="B1" s="1" t="str">
        <f>input!$D$1</f>
        <v>Month</v>
      </c>
      <c r="C1" s="1" t="str">
        <f>input!$E$1</f>
        <v>Year</v>
      </c>
      <c r="D1" s="10" t="str">
        <f>calc!$D$1</f>
        <v>Date</v>
      </c>
      <c r="E1" s="10" t="str">
        <f>calc!$E$1</f>
        <v>Month</v>
      </c>
      <c r="F1" s="10" t="s">
        <v>38</v>
      </c>
      <c r="G1" s="13" t="str">
        <f>calc!$L$1</f>
        <v>EoT</v>
      </c>
      <c r="H1" s="10" t="s">
        <v>39</v>
      </c>
    </row>
    <row r="2" spans="1:8" ht="16">
      <c r="A2" s="6">
        <f>input!$C$2</f>
        <v>0</v>
      </c>
      <c r="B2" s="41">
        <f>input!$D$2</f>
        <v>5</v>
      </c>
      <c r="C2" s="41">
        <f>input!$E$2</f>
        <v>1991</v>
      </c>
      <c r="D2" s="12">
        <f>calc!$D$2</f>
        <v>1</v>
      </c>
      <c r="E2" s="16">
        <f>calc!$E$2</f>
        <v>5</v>
      </c>
      <c r="F2" s="16">
        <v>1</v>
      </c>
      <c r="G2" s="31">
        <f>calc!$L$2</f>
        <v>2.7803160632057882</v>
      </c>
      <c r="H2" s="16" t="s">
        <v>40</v>
      </c>
    </row>
    <row r="3" spans="1:8" ht="16">
      <c r="A3" s="16" t="s">
        <v>37</v>
      </c>
      <c r="B3" s="16" t="s">
        <v>37</v>
      </c>
      <c r="C3" s="16" t="s">
        <v>37</v>
      </c>
      <c r="D3" s="12">
        <f>calc!$D$3</f>
        <v>2</v>
      </c>
      <c r="E3" s="16">
        <f>calc!$E$2</f>
        <v>5</v>
      </c>
      <c r="F3" s="16">
        <v>2</v>
      </c>
      <c r="G3" s="31">
        <f>calc!$L$3</f>
        <v>2.9042483922252131</v>
      </c>
      <c r="H3" s="16" t="s">
        <v>41</v>
      </c>
    </row>
    <row r="4" spans="1:8" ht="16">
      <c r="D4" s="12">
        <f>calc!$D$4</f>
        <v>3</v>
      </c>
      <c r="E4" s="16">
        <f>calc!$E$2</f>
        <v>5</v>
      </c>
      <c r="F4" s="16">
        <v>3</v>
      </c>
      <c r="G4" s="31">
        <f>calc!$L$4</f>
        <v>3.0192035027076543</v>
      </c>
      <c r="H4" s="16" t="s">
        <v>42</v>
      </c>
    </row>
    <row r="5" spans="1:8" ht="16">
      <c r="D5" s="12">
        <f>calc!$D$5</f>
        <v>4</v>
      </c>
      <c r="E5" s="16">
        <f>calc!$E$2</f>
        <v>5</v>
      </c>
      <c r="F5" s="16">
        <v>4</v>
      </c>
      <c r="G5" s="31">
        <f>calc!$L$5</f>
        <v>3.1250716913373253</v>
      </c>
      <c r="H5" s="16" t="s">
        <v>43</v>
      </c>
    </row>
    <row r="6" spans="1:8" ht="16">
      <c r="D6" s="12">
        <f>calc!$D$6</f>
        <v>5</v>
      </c>
      <c r="E6" s="16">
        <f>calc!$E$2</f>
        <v>5</v>
      </c>
      <c r="F6" s="16">
        <v>5</v>
      </c>
      <c r="G6" s="31">
        <f>calc!$L$6</f>
        <v>3.2217542347542576</v>
      </c>
      <c r="H6" s="16" t="s">
        <v>44</v>
      </c>
    </row>
    <row r="7" spans="1:8" ht="16">
      <c r="D7" s="12">
        <f>calc!$D$7</f>
        <v>6</v>
      </c>
      <c r="E7" s="16">
        <f>calc!$E$2</f>
        <v>5</v>
      </c>
      <c r="F7" s="16">
        <v>6</v>
      </c>
      <c r="G7" s="31">
        <f>calc!$L$7</f>
        <v>3.309163637395244</v>
      </c>
      <c r="H7" s="16" t="s">
        <v>45</v>
      </c>
    </row>
    <row r="8" spans="1:8" ht="16">
      <c r="D8" s="12">
        <f>calc!$D$8</f>
        <v>7</v>
      </c>
      <c r="E8" s="16">
        <f>calc!$E$2</f>
        <v>5</v>
      </c>
      <c r="F8" s="16">
        <v>7</v>
      </c>
      <c r="G8" s="31">
        <f>calc!$L$8</f>
        <v>3.3872238724910915</v>
      </c>
      <c r="H8" s="16" t="s">
        <v>46</v>
      </c>
    </row>
    <row r="9" spans="1:8" ht="16">
      <c r="D9" s="12">
        <f>calc!$D$9</f>
        <v>8</v>
      </c>
      <c r="E9" s="16">
        <f>calc!$E$2</f>
        <v>5</v>
      </c>
      <c r="F9" s="16">
        <v>8</v>
      </c>
      <c r="G9" s="31">
        <f>calc!$L$9</f>
        <v>3.4558706152542413</v>
      </c>
      <c r="H9" s="16" t="s">
        <v>47</v>
      </c>
    </row>
    <row r="10" spans="1:8" ht="16">
      <c r="D10" s="12">
        <f>calc!$D$10</f>
        <v>9</v>
      </c>
      <c r="E10" s="16">
        <f>calc!$E$2</f>
        <v>5</v>
      </c>
      <c r="F10" s="16">
        <v>9</v>
      </c>
      <c r="G10" s="31">
        <f>calc!$L$10</f>
        <v>3.5150514672563418</v>
      </c>
      <c r="H10" s="16" t="s">
        <v>48</v>
      </c>
    </row>
    <row r="11" spans="1:8" ht="16">
      <c r="D11" s="12">
        <f>calc!$D$11</f>
        <v>10</v>
      </c>
      <c r="E11" s="16">
        <f>calc!$E$2</f>
        <v>5</v>
      </c>
      <c r="F11" s="16">
        <v>10</v>
      </c>
      <c r="G11" s="31">
        <f>calc!$L$11</f>
        <v>3.5647261709616203</v>
      </c>
      <c r="H11" s="16" t="s">
        <v>49</v>
      </c>
    </row>
    <row r="12" spans="1:8" ht="16">
      <c r="D12" s="12">
        <f>calc!$D$12</f>
        <v>11</v>
      </c>
      <c r="E12" s="16">
        <f>calc!$E$2</f>
        <v>5</v>
      </c>
      <c r="F12" s="16">
        <v>11</v>
      </c>
      <c r="G12" s="31">
        <f>calc!$L$12</f>
        <v>3.6048668133525155</v>
      </c>
      <c r="H12" s="16" t="s">
        <v>50</v>
      </c>
    </row>
    <row r="13" spans="1:8" ht="16">
      <c r="D13" s="12">
        <f>calc!$D$13</f>
        <v>12</v>
      </c>
      <c r="E13" s="16">
        <f>calc!$E$2</f>
        <v>5</v>
      </c>
      <c r="F13" s="16">
        <v>12</v>
      </c>
      <c r="G13" s="31">
        <f>calc!$L$13</f>
        <v>3.6354580175611204</v>
      </c>
      <c r="H13" s="16" t="s">
        <v>51</v>
      </c>
    </row>
    <row r="14" spans="1:8" ht="16">
      <c r="D14" s="12">
        <f>calc!$D$14</f>
        <v>13</v>
      </c>
      <c r="E14" s="16">
        <f>calc!$E$2</f>
        <v>5</v>
      </c>
      <c r="F14" s="16">
        <v>13</v>
      </c>
      <c r="G14" s="31">
        <f>calc!$L$14</f>
        <v>3.6564971213955459</v>
      </c>
      <c r="H14" s="16" t="s">
        <v>52</v>
      </c>
    </row>
    <row r="15" spans="1:8" ht="16">
      <c r="D15" s="12">
        <f>calc!$D$15</f>
        <v>14</v>
      </c>
      <c r="E15" s="16">
        <f>calc!$E$2</f>
        <v>5</v>
      </c>
      <c r="F15" s="16">
        <v>14</v>
      </c>
      <c r="G15" s="31">
        <f>calc!$L$15</f>
        <v>3.6679943416372964</v>
      </c>
      <c r="H15" s="16" t="s">
        <v>53</v>
      </c>
    </row>
    <row r="16" spans="1:8" ht="16">
      <c r="D16" s="12">
        <f>calc!$D$16</f>
        <v>15</v>
      </c>
      <c r="E16" s="16">
        <f>calc!$E$2</f>
        <v>5</v>
      </c>
      <c r="F16" s="16">
        <v>15</v>
      </c>
      <c r="G16" s="31">
        <f>calc!$L$16</f>
        <v>3.6699729229762852</v>
      </c>
      <c r="H16" s="16" t="s">
        <v>53</v>
      </c>
    </row>
    <row r="17" spans="4:8" ht="16">
      <c r="D17" s="12">
        <f>calc!$D$17</f>
        <v>16</v>
      </c>
      <c r="E17" s="16">
        <f>calc!$E$2</f>
        <v>5</v>
      </c>
      <c r="F17" s="16">
        <v>16</v>
      </c>
      <c r="G17" s="31">
        <f>calc!$L$17</f>
        <v>3.6624692704428696</v>
      </c>
      <c r="H17" s="16" t="s">
        <v>53</v>
      </c>
    </row>
    <row r="18" spans="4:8" ht="16">
      <c r="D18" s="12">
        <f>calc!$D$18</f>
        <v>17</v>
      </c>
      <c r="E18" s="16">
        <f>calc!$E$2</f>
        <v>5</v>
      </c>
      <c r="F18" s="16">
        <v>17</v>
      </c>
      <c r="G18" s="31">
        <f>calc!$L$18</f>
        <v>3.6455330641985881</v>
      </c>
      <c r="H18" s="16" t="s">
        <v>52</v>
      </c>
    </row>
    <row r="19" spans="4:8" ht="16">
      <c r="D19" s="12">
        <f>calc!$D$19</f>
        <v>18</v>
      </c>
      <c r="E19" s="16">
        <f>calc!$E$2</f>
        <v>5</v>
      </c>
      <c r="F19" s="16">
        <v>18</v>
      </c>
      <c r="G19" s="31">
        <f>calc!$L$19</f>
        <v>3.6192273555586212</v>
      </c>
      <c r="H19" s="16" t="s">
        <v>54</v>
      </c>
    </row>
    <row r="20" spans="4:8" ht="16">
      <c r="D20" s="12">
        <f>calc!$D$20</f>
        <v>19</v>
      </c>
      <c r="E20" s="16">
        <f>calc!$E$2</f>
        <v>5</v>
      </c>
      <c r="F20" s="16">
        <v>19</v>
      </c>
      <c r="G20" s="31">
        <f>calc!$L$20</f>
        <v>3.583628643128776</v>
      </c>
      <c r="H20" s="16" t="s">
        <v>55</v>
      </c>
    </row>
    <row r="21" spans="4:8" ht="16">
      <c r="D21" s="12">
        <f>calc!$D$21</f>
        <v>20</v>
      </c>
      <c r="E21" s="16">
        <f>calc!$E$2</f>
        <v>5</v>
      </c>
      <c r="F21" s="16">
        <v>20</v>
      </c>
      <c r="G21" s="31">
        <f>calc!$L$21</f>
        <v>3.5388269279678468</v>
      </c>
      <c r="H21" s="16" t="s">
        <v>56</v>
      </c>
    </row>
    <row r="22" spans="4:8" ht="16">
      <c r="D22" s="12">
        <f>calc!$D$22</f>
        <v>21</v>
      </c>
      <c r="E22" s="16">
        <f>calc!$E$2</f>
        <v>5</v>
      </c>
      <c r="F22" s="16">
        <v>21</v>
      </c>
      <c r="G22" s="31">
        <f>calc!$L$22</f>
        <v>3.4849257467127472</v>
      </c>
      <c r="H22" s="16" t="s">
        <v>57</v>
      </c>
    </row>
    <row r="23" spans="4:8" ht="16">
      <c r="D23" s="12">
        <f>calc!$D$23</f>
        <v>22</v>
      </c>
      <c r="E23" s="16">
        <f>calc!$E$2</f>
        <v>5</v>
      </c>
      <c r="F23" s="16">
        <v>22</v>
      </c>
      <c r="G23" s="31">
        <f>calc!$L$23</f>
        <v>3.4220421816408191</v>
      </c>
      <c r="H23" s="16" t="s">
        <v>58</v>
      </c>
    </row>
    <row r="24" spans="4:8" ht="16">
      <c r="D24" s="12">
        <f>calc!$D$24</f>
        <v>23</v>
      </c>
      <c r="E24" s="16">
        <f>calc!$E$2</f>
        <v>5</v>
      </c>
      <c r="F24" s="16">
        <v>23</v>
      </c>
      <c r="G24" s="31">
        <f>calc!$L$24</f>
        <v>3.350306846694167</v>
      </c>
      <c r="H24" s="16" t="s">
        <v>59</v>
      </c>
    </row>
    <row r="25" spans="4:8" ht="16">
      <c r="D25" s="12">
        <f>calc!$D$25</f>
        <v>24</v>
      </c>
      <c r="E25" s="16">
        <f>calc!$E$2</f>
        <v>5</v>
      </c>
      <c r="F25" s="16">
        <v>24</v>
      </c>
      <c r="G25" s="31">
        <f>calc!$L$25</f>
        <v>3.2698638485387335</v>
      </c>
      <c r="H25" s="16" t="s">
        <v>60</v>
      </c>
    </row>
    <row r="26" spans="4:8" ht="16">
      <c r="D26" s="12">
        <f>calc!$D$26</f>
        <v>25</v>
      </c>
      <c r="E26" s="16">
        <f>calc!$E$2</f>
        <v>5</v>
      </c>
      <c r="F26" s="16">
        <v>25</v>
      </c>
      <c r="G26" s="31">
        <f>calc!$L$26</f>
        <v>3.1808707217985841</v>
      </c>
      <c r="H26" s="16" t="s">
        <v>61</v>
      </c>
    </row>
    <row r="27" spans="4:8" ht="16">
      <c r="D27" s="12">
        <f>calc!$D$27</f>
        <v>26</v>
      </c>
      <c r="E27" s="16">
        <f>calc!$E$2</f>
        <v>5</v>
      </c>
      <c r="F27" s="16">
        <v>26</v>
      </c>
      <c r="G27" s="31">
        <f>calc!$L$27</f>
        <v>3.0834983376708465</v>
      </c>
      <c r="H27" s="16" t="s">
        <v>62</v>
      </c>
    </row>
    <row r="28" spans="4:8" ht="16">
      <c r="D28" s="12">
        <f>calc!$D$28</f>
        <v>27</v>
      </c>
      <c r="E28" s="16">
        <f>calc!$E$2</f>
        <v>5</v>
      </c>
      <c r="F28" s="16">
        <v>27</v>
      </c>
      <c r="G28" s="31">
        <f>calc!$L$28</f>
        <v>2.977930785208116</v>
      </c>
      <c r="H28" s="16" t="s">
        <v>63</v>
      </c>
    </row>
    <row r="29" spans="4:8" ht="16">
      <c r="D29" s="12">
        <f>calc!$D$29</f>
        <v>28</v>
      </c>
      <c r="E29" s="16">
        <f>calc!$E$2</f>
        <v>5</v>
      </c>
      <c r="F29" s="16">
        <v>28</v>
      </c>
      <c r="G29" s="31">
        <f>calc!$L$29</f>
        <v>2.8643652246427678</v>
      </c>
      <c r="H29" s="16" t="s">
        <v>64</v>
      </c>
    </row>
    <row r="30" spans="4:8" ht="16">
      <c r="D30" s="12">
        <f>calc!$D$30</f>
        <v>29</v>
      </c>
      <c r="E30" s="16">
        <f>calc!$E$30</f>
        <v>5</v>
      </c>
      <c r="F30" s="16">
        <v>29</v>
      </c>
      <c r="G30" s="31">
        <f>calc!$L$30</f>
        <v>2.7430117122156616</v>
      </c>
      <c r="H30" s="16" t="s">
        <v>65</v>
      </c>
    </row>
    <row r="31" spans="4:8" ht="16">
      <c r="D31" s="12">
        <f>calc!$D$31</f>
        <v>30</v>
      </c>
      <c r="E31" s="16">
        <f>calc!$E$31</f>
        <v>5</v>
      </c>
      <c r="F31" s="16">
        <v>30</v>
      </c>
      <c r="G31" s="31">
        <f>calc!$L$31</f>
        <v>2.6140929960798758</v>
      </c>
      <c r="H31" s="16" t="s">
        <v>66</v>
      </c>
    </row>
    <row r="32" spans="4:8" ht="16">
      <c r="D32" s="12">
        <f>calc!$D$32</f>
        <v>31</v>
      </c>
      <c r="E32" s="16">
        <f>calc!$E$32</f>
        <v>5</v>
      </c>
      <c r="F32" s="16">
        <v>31</v>
      </c>
      <c r="G32" s="31">
        <f>calc!$L$32</f>
        <v>2.4778442829544929</v>
      </c>
      <c r="H32" s="16" t="s">
        <v>67</v>
      </c>
    </row>
    <row r="33" spans="4:4" ht="16">
      <c r="D33"/>
    </row>
    <row r="34" spans="4:4" ht="16">
      <c r="D34"/>
    </row>
    <row r="35" spans="4:4" ht="16">
      <c r="D35"/>
    </row>
    <row r="36" spans="4:4" ht="16">
      <c r="D36"/>
    </row>
    <row r="37" spans="4:4" ht="16">
      <c r="D37"/>
    </row>
    <row r="38" spans="4:4" ht="16">
      <c r="D38"/>
    </row>
    <row r="39" spans="4:4" ht="16">
      <c r="D39"/>
    </row>
    <row r="40" spans="4:4" ht="16">
      <c r="D40"/>
    </row>
    <row r="41" spans="4:4" ht="16">
      <c r="D41"/>
    </row>
    <row r="42" spans="4:4" ht="16">
      <c r="D42"/>
    </row>
    <row r="43" spans="4:4" ht="16">
      <c r="D43"/>
    </row>
    <row r="44" spans="4:4" ht="16">
      <c r="D44"/>
    </row>
    <row r="45" spans="4:4" ht="16">
      <c r="D45"/>
    </row>
    <row r="46" spans="4:4" ht="16">
      <c r="D46"/>
    </row>
    <row r="47" spans="4:4" ht="16">
      <c r="D47"/>
    </row>
    <row r="48" spans="4:4" ht="16">
      <c r="D48"/>
    </row>
    <row r="49" spans="4:4" ht="16">
      <c r="D49"/>
    </row>
    <row r="50" spans="4:4" ht="16">
      <c r="D50"/>
    </row>
    <row r="51" spans="4:4" ht="16">
      <c r="D51"/>
    </row>
  </sheetData>
  <pageMargins left="0" right="0" top="0.39370078740157477" bottom="0.39370078740157477" header="0" footer="0"/>
  <headerFooter>
    <oddHeader>&amp;C&amp;A</oddHeader>
    <oddFooter>&amp;CSeite &amp;P</oddFooter>
  </headerFooter>
  <drawing r:id="rId1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51"/>
  <sheetViews>
    <sheetView workbookViewId="0"/>
  </sheetViews>
  <sheetFormatPr baseColWidth="10" defaultRowHeight="15"/>
  <cols>
    <col min="1" max="3" width="14.1640625" customWidth="1"/>
    <col min="4" max="4" width="10.33203125" style="33" customWidth="1"/>
    <col min="5" max="5" width="13.6640625" style="16" customWidth="1"/>
    <col min="6" max="6" width="13.6640625" customWidth="1"/>
    <col min="7" max="7" width="12.83203125" style="40" customWidth="1"/>
    <col min="8" max="8" width="16.5" style="19" customWidth="1"/>
  </cols>
  <sheetData>
    <row r="1" spans="1:8" ht="16">
      <c r="A1" s="2" t="str">
        <f>'E o T'!$A$1</f>
        <v>UT</v>
      </c>
      <c r="B1" s="1" t="str">
        <f>'E o T'!$B$1</f>
        <v>Month</v>
      </c>
      <c r="C1" s="1" t="str">
        <f>'E o T'!$C$1</f>
        <v>Year</v>
      </c>
      <c r="D1" s="10" t="str">
        <f>'E o T'!$D$1</f>
        <v>Date</v>
      </c>
      <c r="E1" s="10" t="str">
        <f>'E o T'!$E$1</f>
        <v>Month</v>
      </c>
      <c r="F1" s="10" t="str">
        <f>'E o T'!$F$1</f>
        <v>Day</v>
      </c>
      <c r="G1" s="36" t="str">
        <f>calc!$W$1</f>
        <v>delta</v>
      </c>
      <c r="H1" s="42" t="str">
        <f>calc!$AG$1</f>
        <v>R / AU</v>
      </c>
    </row>
    <row r="2" spans="1:8" ht="16">
      <c r="A2" s="6">
        <f>'E o T'!$A$2</f>
        <v>0</v>
      </c>
      <c r="B2" s="41">
        <f>'E o T'!$B$2</f>
        <v>5</v>
      </c>
      <c r="C2" s="41">
        <f>'E o T'!$C$2</f>
        <v>1991</v>
      </c>
      <c r="D2" s="12">
        <f>'E o T'!$D$2</f>
        <v>1</v>
      </c>
      <c r="E2" s="16">
        <f>'E o T'!$E$2</f>
        <v>5</v>
      </c>
      <c r="F2" s="16">
        <f>'E o T'!$F$2</f>
        <v>1</v>
      </c>
      <c r="G2" s="40">
        <f>calc!$W$2</f>
        <v>14.858784749955143</v>
      </c>
      <c r="H2" s="43">
        <f>calc!$AG$2</f>
        <v>1.0074116267551907</v>
      </c>
    </row>
    <row r="3" spans="1:8" ht="16">
      <c r="A3" s="16" t="s">
        <v>37</v>
      </c>
      <c r="B3" s="16" t="s">
        <v>37</v>
      </c>
      <c r="C3" s="16" t="s">
        <v>37</v>
      </c>
      <c r="D3" s="12">
        <f>'E o T'!$D$3</f>
        <v>2</v>
      </c>
      <c r="E3" s="16">
        <f>'E o T'!$E$2</f>
        <v>5</v>
      </c>
      <c r="F3" s="16">
        <f>'E o T'!$F$3</f>
        <v>2</v>
      </c>
      <c r="G3" s="40">
        <f>calc!$W$3</f>
        <v>15.162221792212186</v>
      </c>
      <c r="H3" s="43">
        <f>calc!$AG$3</f>
        <v>1.0076687572427472</v>
      </c>
    </row>
    <row r="4" spans="1:8" ht="16">
      <c r="D4" s="12">
        <f>'E o T'!$D$4</f>
        <v>3</v>
      </c>
      <c r="E4" s="16">
        <f>'E o T'!$E$2</f>
        <v>5</v>
      </c>
      <c r="F4" s="16">
        <f>'E o T'!$F$4</f>
        <v>3</v>
      </c>
      <c r="G4" s="40">
        <f>calc!$W$4</f>
        <v>15.461482490925825</v>
      </c>
      <c r="H4" s="43">
        <f>calc!$AG$4</f>
        <v>1.0079245810823114</v>
      </c>
    </row>
    <row r="5" spans="1:8" ht="16">
      <c r="D5" s="12">
        <f>'E o T'!$D$5</f>
        <v>4</v>
      </c>
      <c r="E5" s="16">
        <f>'E o T'!$E$2</f>
        <v>5</v>
      </c>
      <c r="F5" s="16">
        <f>'E o T'!$F$5</f>
        <v>4</v>
      </c>
      <c r="G5" s="40">
        <f>calc!$W$5</f>
        <v>15.75647934409171</v>
      </c>
      <c r="H5" s="43">
        <f>calc!$AG$5</f>
        <v>1.0081788756574523</v>
      </c>
    </row>
    <row r="6" spans="1:8" ht="16">
      <c r="D6" s="12">
        <f>'E o T'!$D$6</f>
        <v>5</v>
      </c>
      <c r="E6" s="16">
        <f>'E o T'!$E$2</f>
        <v>5</v>
      </c>
      <c r="F6" s="16">
        <f>'E o T'!$F$6</f>
        <v>5</v>
      </c>
      <c r="G6" s="40">
        <f>calc!$W$6</f>
        <v>16.047125411805467</v>
      </c>
      <c r="H6" s="43">
        <f>calc!$AG$6</f>
        <v>1.0084313973263566</v>
      </c>
    </row>
    <row r="7" spans="1:8" ht="16">
      <c r="D7" s="12">
        <f>'E o T'!$D$7</f>
        <v>6</v>
      </c>
      <c r="E7" s="16">
        <f>'E o T'!$E$2</f>
        <v>5</v>
      </c>
      <c r="F7" s="16">
        <f>'E o T'!$F$7</f>
        <v>6</v>
      </c>
      <c r="G7" s="40">
        <f>calc!$W$7</f>
        <v>16.333334351750892</v>
      </c>
      <c r="H7" s="43">
        <f>calc!$AG$7</f>
        <v>1.0086818803423352</v>
      </c>
    </row>
    <row r="8" spans="1:8" ht="16">
      <c r="D8" s="12">
        <f>'E o T'!$D$8</f>
        <v>7</v>
      </c>
      <c r="E8" s="16">
        <f>'E o T'!$E$2</f>
        <v>5</v>
      </c>
      <c r="F8" s="16">
        <f>'E o T'!$F$8</f>
        <v>7</v>
      </c>
      <c r="G8" s="40">
        <f>calc!$W$8</f>
        <v>16.615020456552308</v>
      </c>
      <c r="H8" s="43">
        <f>calc!$AG$8</f>
        <v>1.0089300353187909</v>
      </c>
    </row>
    <row r="9" spans="1:8" ht="16">
      <c r="D9" s="12">
        <f>'E o T'!$D$9</f>
        <v>8</v>
      </c>
      <c r="E9" s="16">
        <f>'E o T'!$E$2</f>
        <v>5</v>
      </c>
      <c r="F9" s="16">
        <f>'E o T'!$F$9</f>
        <v>8</v>
      </c>
      <c r="G9" s="40">
        <f>calc!$W$9</f>
        <v>16.892098692975271</v>
      </c>
      <c r="H9" s="43">
        <f>calc!$AG$9</f>
        <v>1.0091755493024142</v>
      </c>
    </row>
    <row r="10" spans="1:8" ht="16">
      <c r="D10" s="12">
        <f>'E o T'!$D$10</f>
        <v>9</v>
      </c>
      <c r="E10" s="16">
        <f>'E o T'!$E$2</f>
        <v>5</v>
      </c>
      <c r="F10" s="16">
        <f>'E o T'!$F$10</f>
        <v>9</v>
      </c>
      <c r="G10" s="40">
        <f>calc!$W$10</f>
        <v>17.164484742952691</v>
      </c>
      <c r="H10" s="43">
        <f>calc!$AG$10</f>
        <v>1.0094180893502431</v>
      </c>
    </row>
    <row r="11" spans="1:8" ht="16">
      <c r="D11" s="12">
        <f>'E o T'!$D$11</f>
        <v>10</v>
      </c>
      <c r="E11" s="16">
        <f>'E o T'!$E$2</f>
        <v>5</v>
      </c>
      <c r="F11" s="16">
        <f>'E o T'!$F$11</f>
        <v>10</v>
      </c>
      <c r="G11" s="40">
        <f>calc!$W$11</f>
        <v>17.432095046400381</v>
      </c>
      <c r="H11" s="43">
        <f>calc!$AG$11</f>
        <v>1.0096573108894111</v>
      </c>
    </row>
    <row r="12" spans="1:8" ht="16">
      <c r="D12" s="12">
        <f>'E o T'!$D$12</f>
        <v>11</v>
      </c>
      <c r="E12" s="16">
        <f>'E o T'!$E$2</f>
        <v>5</v>
      </c>
      <c r="F12" s="16">
        <f>'E o T'!$F$12</f>
        <v>11</v>
      </c>
      <c r="G12" s="40">
        <f>calc!$W$12</f>
        <v>17.694846845788096</v>
      </c>
      <c r="H12" s="43">
        <f>calc!$AG$12</f>
        <v>1.0098928711884838</v>
      </c>
    </row>
    <row r="13" spans="1:8" ht="16">
      <c r="D13" s="12">
        <f>'E o T'!$D$13</f>
        <v>12</v>
      </c>
      <c r="E13" s="16">
        <f>'E o T'!$E$2</f>
        <v>5</v>
      </c>
      <c r="F13" s="16">
        <f>'E o T'!$F$13</f>
        <v>12</v>
      </c>
      <c r="G13" s="40">
        <f>calc!$W$13</f>
        <v>17.952658232417267</v>
      </c>
      <c r="H13" s="43">
        <f>calc!$AG$13</f>
        <v>1.0101244471693802</v>
      </c>
    </row>
    <row r="14" spans="1:8" ht="16">
      <c r="D14" s="12">
        <f>'E o T'!$D$14</f>
        <v>13</v>
      </c>
      <c r="E14" s="16">
        <f>'E o T'!$E$2</f>
        <v>5</v>
      </c>
      <c r="F14" s="16">
        <f>'E o T'!$F$14</f>
        <v>13</v>
      </c>
      <c r="G14" s="40">
        <f>calc!$W$14</f>
        <v>18.20544819435209</v>
      </c>
      <c r="H14" s="43">
        <f>calc!$AG$14</f>
        <v>1.0103517557547343</v>
      </c>
    </row>
    <row r="15" spans="1:8" ht="16">
      <c r="D15" s="12">
        <f>'E o T'!$D$15</f>
        <v>14</v>
      </c>
      <c r="E15" s="16">
        <f>'E o T'!$E$2</f>
        <v>5</v>
      </c>
      <c r="F15" s="16">
        <f>'E o T'!$F$15</f>
        <v>14</v>
      </c>
      <c r="G15" s="40">
        <f>calc!$W$15</f>
        <v>18.453136665944989</v>
      </c>
      <c r="H15" s="43">
        <f>calc!$AG$15</f>
        <v>1.0105745741841934</v>
      </c>
    </row>
    <row r="16" spans="1:8" ht="16">
      <c r="D16" s="12">
        <f>'E o T'!$D$16</f>
        <v>15</v>
      </c>
      <c r="E16" s="16">
        <f>'E o T'!$E$2</f>
        <v>5</v>
      </c>
      <c r="F16" s="16">
        <f>'E o T'!$F$16</f>
        <v>15</v>
      </c>
      <c r="G16" s="40">
        <f>calc!$W$16</f>
        <v>18.695644578882995</v>
      </c>
      <c r="H16" s="43">
        <f>calc!$AG$16</f>
        <v>1.0107927574024469</v>
      </c>
    </row>
    <row r="17" spans="4:8" ht="16">
      <c r="D17" s="12">
        <f>'E o T'!$D$17</f>
        <v>16</v>
      </c>
      <c r="E17" s="16">
        <f>'E o T'!$E$2</f>
        <v>5</v>
      </c>
      <c r="F17" s="16">
        <f>'E o T'!$F$17</f>
        <v>16</v>
      </c>
      <c r="G17" s="40">
        <f>calc!$W$17</f>
        <v>18.93289391468133</v>
      </c>
      <c r="H17" s="43">
        <f>calc!$AG$17</f>
        <v>1.0110062498003729</v>
      </c>
    </row>
    <row r="18" spans="4:8" ht="16">
      <c r="D18" s="12">
        <f>'E o T'!$D$18</f>
        <v>17</v>
      </c>
      <c r="E18" s="16">
        <f>'E o T'!$E$2</f>
        <v>5</v>
      </c>
      <c r="F18" s="16">
        <f>'E o T'!$F$18</f>
        <v>17</v>
      </c>
      <c r="G18" s="40">
        <f>calc!$W$18</f>
        <v>19.164807758538572</v>
      </c>
      <c r="H18" s="43">
        <f>calc!$AG$18</f>
        <v>1.0112150892614638</v>
      </c>
    </row>
    <row r="19" spans="4:8" ht="16">
      <c r="D19" s="12">
        <f>'E o T'!$D$19</f>
        <v>18</v>
      </c>
      <c r="E19" s="16">
        <f>'E o T'!$E$2</f>
        <v>5</v>
      </c>
      <c r="F19" s="16">
        <f>'E o T'!$F$19</f>
        <v>18</v>
      </c>
      <c r="G19" s="40">
        <f>calc!$W$19</f>
        <v>19.391310354456067</v>
      </c>
      <c r="H19" s="43">
        <f>calc!$AG$19</f>
        <v>1.0114194025191061</v>
      </c>
    </row>
    <row r="20" spans="4:8" ht="16">
      <c r="D20" s="12">
        <f>'E o T'!$D$20</f>
        <v>19</v>
      </c>
      <c r="E20" s="16">
        <f>'E o T'!$E$2</f>
        <v>5</v>
      </c>
      <c r="F20" s="16">
        <f>'E o T'!$F$20</f>
        <v>19</v>
      </c>
      <c r="G20" s="40">
        <f>calc!$W$20</f>
        <v>19.612327161525812</v>
      </c>
      <c r="H20" s="43">
        <f>calc!$AG$20</f>
        <v>1.0116193920836873</v>
      </c>
    </row>
    <row r="21" spans="4:8" ht="16">
      <c r="D21" s="12">
        <f>'E o T'!$D$21</f>
        <v>20</v>
      </c>
      <c r="E21" s="16">
        <f>'E o T'!$E$2</f>
        <v>5</v>
      </c>
      <c r="F21" s="16">
        <f>'E o T'!$F$21</f>
        <v>20</v>
      </c>
      <c r="G21" s="40">
        <f>calc!$W$21</f>
        <v>19.827784911270925</v>
      </c>
      <c r="H21" s="43">
        <f>calc!$AG$21</f>
        <v>1.0118153162308801</v>
      </c>
    </row>
    <row r="22" spans="4:8" ht="16">
      <c r="D22" s="12">
        <f>'E o T'!$D$22</f>
        <v>21</v>
      </c>
      <c r="E22" s="16">
        <f>'E o T'!$E$2</f>
        <v>5</v>
      </c>
      <c r="F22" s="16">
        <f>'E o T'!$F$22</f>
        <v>21</v>
      </c>
      <c r="G22" s="40">
        <f>calc!$W$22</f>
        <v>20.03761166592481</v>
      </c>
      <c r="H22" s="43">
        <f>calc!$AG$22</f>
        <v>1.0120074645353334</v>
      </c>
    </row>
    <row r="23" spans="4:8" ht="16">
      <c r="D23" s="12">
        <f>'E o T'!$D$23</f>
        <v>22</v>
      </c>
      <c r="E23" s="16">
        <f>'E o T'!$E$2</f>
        <v>5</v>
      </c>
      <c r="F23" s="16">
        <f>'E o T'!$F$23</f>
        <v>22</v>
      </c>
      <c r="G23" s="40">
        <f>calc!$W$23</f>
        <v>20.241736877522424</v>
      </c>
      <c r="H23" s="43">
        <f>calc!$AG$23</f>
        <v>1.0121961320126631</v>
      </c>
    </row>
    <row r="24" spans="4:8" ht="16">
      <c r="D24" s="12">
        <f>'E o T'!$D$24</f>
        <v>23</v>
      </c>
      <c r="E24" s="16">
        <f>'E o T'!$E$2</f>
        <v>5</v>
      </c>
      <c r="F24" s="16">
        <f>'E o T'!$F$24</f>
        <v>23</v>
      </c>
      <c r="G24" s="40">
        <f>calc!$W$24</f>
        <v>20.440091447668394</v>
      </c>
      <c r="H24" s="43">
        <f>calc!$AG$24</f>
        <v>1.0123815949989632</v>
      </c>
    </row>
    <row r="25" spans="4:8" ht="16">
      <c r="D25" s="12">
        <f>'E o T'!$D$25</f>
        <v>24</v>
      </c>
      <c r="E25" s="16">
        <f>'E o T'!$E$2</f>
        <v>5</v>
      </c>
      <c r="F25" s="16">
        <f>'E o T'!$F$25</f>
        <v>24</v>
      </c>
      <c r="G25" s="40">
        <f>calc!$W$25</f>
        <v>20.632607787844901</v>
      </c>
      <c r="H25" s="43">
        <f>calc!$AG$25</f>
        <v>1.0125640914473111</v>
      </c>
    </row>
    <row r="26" spans="4:8" ht="16">
      <c r="D26" s="12">
        <f>'E o T'!$D$26</f>
        <v>25</v>
      </c>
      <c r="E26" s="16">
        <f>'E o T'!$E$2</f>
        <v>5</v>
      </c>
      <c r="F26" s="16">
        <f>'E o T'!$F$26</f>
        <v>25</v>
      </c>
      <c r="G26" s="40">
        <f>calc!$W$26</f>
        <v>20.819219880106729</v>
      </c>
      <c r="H26" s="43">
        <f>calc!$AG$26</f>
        <v>1.0127438074463613</v>
      </c>
    </row>
    <row r="27" spans="4:8" ht="16">
      <c r="D27" s="12">
        <f>'E o T'!$D$27</f>
        <v>26</v>
      </c>
      <c r="E27" s="16">
        <f>'E o T'!$E$2</f>
        <v>5</v>
      </c>
      <c r="F27" s="16">
        <f>'E o T'!$F$27</f>
        <v>26</v>
      </c>
      <c r="G27" s="40">
        <f>calc!$W$27</f>
        <v>20.999863338013476</v>
      </c>
      <c r="H27" s="43">
        <f>calc!$AG$27</f>
        <v>1.0129208706356185</v>
      </c>
    </row>
    <row r="28" spans="4:8" ht="16">
      <c r="D28" s="12">
        <f>'E o T'!$D$28</f>
        <v>27</v>
      </c>
      <c r="E28" s="16">
        <f>'E o T'!$E$2</f>
        <v>5</v>
      </c>
      <c r="F28" s="16">
        <f>'E o T'!$F$28</f>
        <v>27</v>
      </c>
      <c r="G28" s="40">
        <f>calc!$W$28</f>
        <v>21.17447546763654</v>
      </c>
      <c r="H28" s="43">
        <f>calc!$AG$28</f>
        <v>1.0130953500188211</v>
      </c>
    </row>
    <row r="29" spans="4:8" ht="16">
      <c r="D29" s="12">
        <f>'E o T'!$D$29</f>
        <v>28</v>
      </c>
      <c r="E29" s="16">
        <f>'E o T'!$E$2</f>
        <v>5</v>
      </c>
      <c r="F29" s="16">
        <f>'E o T'!$F$29</f>
        <v>28</v>
      </c>
      <c r="G29" s="40">
        <f>calc!$W$29</f>
        <v>21.342995328473535</v>
      </c>
      <c r="H29" s="43">
        <f>calc!$AG$29</f>
        <v>1.0132672606788102</v>
      </c>
    </row>
    <row r="30" spans="4:8" ht="16">
      <c r="D30" s="12">
        <f>'E o T'!$D$30</f>
        <v>29</v>
      </c>
      <c r="E30" s="16">
        <f>'E o T'!$E$30</f>
        <v>5</v>
      </c>
      <c r="F30" s="16">
        <f>'E o T'!$F$30</f>
        <v>29</v>
      </c>
      <c r="G30" s="40">
        <f>calc!$W$30</f>
        <v>21.505363794101157</v>
      </c>
      <c r="H30" s="43">
        <f>calc!$AG$30</f>
        <v>1.0134365712549298</v>
      </c>
    </row>
    <row r="31" spans="4:8" ht="16">
      <c r="D31" s="12">
        <f>'E o T'!$D$31</f>
        <v>30</v>
      </c>
      <c r="E31" s="16">
        <f>'E o T'!$E$31</f>
        <v>5</v>
      </c>
      <c r="F31" s="16">
        <f>'E o T'!$F$31</f>
        <v>30</v>
      </c>
      <c r="G31" s="40">
        <f>calc!$W$31</f>
        <v>21.661523612389111</v>
      </c>
      <c r="H31" s="43">
        <f>calc!$AG$31</f>
        <v>1.0136032118668254</v>
      </c>
    </row>
    <row r="32" spans="4:8" ht="16">
      <c r="D32" s="12">
        <f>'E o T'!$D$32</f>
        <v>31</v>
      </c>
      <c r="E32" s="16">
        <f>'E o T'!$E$32</f>
        <v>5</v>
      </c>
      <c r="F32" s="16">
        <f>'E o T'!$F$32</f>
        <v>31</v>
      </c>
      <c r="G32" s="40">
        <f>calc!$W$32</f>
        <v>21.811419465095231</v>
      </c>
      <c r="H32" s="43">
        <f>calc!$AG$32</f>
        <v>1.0137670804745029</v>
      </c>
    </row>
    <row r="33" spans="4:7" ht="16">
      <c r="D33"/>
      <c r="G33" s="44"/>
    </row>
    <row r="34" spans="4:7" ht="16">
      <c r="D34"/>
      <c r="G34" s="44"/>
    </row>
    <row r="35" spans="4:7" ht="16">
      <c r="D35"/>
      <c r="G35" s="44"/>
    </row>
    <row r="36" spans="4:7" ht="16">
      <c r="D36"/>
      <c r="G36" s="44"/>
    </row>
    <row r="37" spans="4:7" ht="16">
      <c r="D37"/>
      <c r="G37" s="44"/>
    </row>
    <row r="38" spans="4:7" ht="16">
      <c r="D38"/>
      <c r="G38" s="44"/>
    </row>
    <row r="39" spans="4:7" ht="16">
      <c r="D39"/>
      <c r="G39" s="44"/>
    </row>
    <row r="40" spans="4:7" ht="16">
      <c r="D40"/>
      <c r="G40" s="44"/>
    </row>
    <row r="41" spans="4:7" ht="16">
      <c r="D41"/>
      <c r="G41" s="44"/>
    </row>
    <row r="42" spans="4:7" ht="16">
      <c r="D42"/>
      <c r="G42" s="44"/>
    </row>
    <row r="43" spans="4:7" ht="16">
      <c r="D43"/>
      <c r="G43" s="44"/>
    </row>
    <row r="44" spans="4:7" ht="16">
      <c r="D44"/>
      <c r="G44" s="44"/>
    </row>
    <row r="45" spans="4:7" ht="16">
      <c r="D45"/>
      <c r="G45" s="44"/>
    </row>
    <row r="46" spans="4:7" ht="16">
      <c r="D46"/>
      <c r="G46" s="44"/>
    </row>
    <row r="47" spans="4:7" ht="16">
      <c r="D47"/>
      <c r="G47" s="44"/>
    </row>
    <row r="48" spans="4:7" ht="16">
      <c r="D48"/>
      <c r="G48" s="44"/>
    </row>
    <row r="49" spans="4:7" ht="16">
      <c r="D49"/>
      <c r="G49" s="44"/>
    </row>
    <row r="50" spans="4:7" ht="16">
      <c r="D50"/>
      <c r="G50" s="44"/>
    </row>
    <row r="51" spans="4:7" ht="16">
      <c r="D51"/>
    </row>
  </sheetData>
  <pageMargins left="0" right="0" top="0.39370078740157477" bottom="0.39370078740157477" header="0" footer="0"/>
  <headerFooter>
    <oddHeader>&amp;C&amp;A</oddHeader>
    <oddFooter>&amp;CSeite &amp;P</oddFooter>
  </headerFooter>
  <drawing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122"/>
  <sheetViews>
    <sheetView workbookViewId="0"/>
  </sheetViews>
  <sheetFormatPr baseColWidth="10" defaultRowHeight="15"/>
  <cols>
    <col min="1" max="1" width="13.83203125" customWidth="1"/>
    <col min="2" max="2" width="14.33203125" customWidth="1"/>
    <col min="3" max="3" width="14.1640625" customWidth="1"/>
    <col min="4" max="4" width="10.33203125" style="33" customWidth="1"/>
    <col min="5" max="5" width="12.6640625" style="16" customWidth="1"/>
    <col min="6" max="6" width="13.6640625" customWidth="1"/>
    <col min="7" max="7" width="11.1640625" style="48" customWidth="1"/>
    <col min="8" max="9" width="14.1640625" style="46" customWidth="1"/>
    <col min="10" max="12" width="14.1640625" style="47" customWidth="1"/>
  </cols>
  <sheetData>
    <row r="1" spans="1:12" ht="16">
      <c r="A1" s="2" t="str">
        <f>'declin  dist'!$A$1</f>
        <v>UT</v>
      </c>
      <c r="B1" s="1" t="str">
        <f>'declin  dist'!$B$1</f>
        <v>Month</v>
      </c>
      <c r="C1" s="1" t="str">
        <f>'declin  dist'!$C$1</f>
        <v>Year</v>
      </c>
      <c r="D1" s="10" t="str">
        <f>'declin  dist'!$D$1</f>
        <v>Date</v>
      </c>
      <c r="E1" s="10" t="str">
        <f>'declin  dist'!$E$1</f>
        <v>Month</v>
      </c>
      <c r="F1" s="10" t="str">
        <f>'declin  dist'!$F$1</f>
        <v>Day</v>
      </c>
      <c r="G1" s="45" t="str">
        <f>calc!$R$1</f>
        <v>L</v>
      </c>
    </row>
    <row r="2" spans="1:12" ht="16">
      <c r="A2" s="6">
        <f>'declin  dist'!$A$2</f>
        <v>0</v>
      </c>
      <c r="B2" s="41">
        <f>'declin  dist'!$B$2</f>
        <v>5</v>
      </c>
      <c r="C2" s="41">
        <f>'declin  dist'!$C$2</f>
        <v>1991</v>
      </c>
      <c r="D2" s="12">
        <f>'declin  dist'!$D$2</f>
        <v>1</v>
      </c>
      <c r="E2" s="16">
        <f>'declin  dist'!$E$2</f>
        <v>5</v>
      </c>
      <c r="F2" s="16">
        <f>'declin  dist'!$F$2</f>
        <v>1</v>
      </c>
      <c r="G2" s="48">
        <f>calc!$R$2</f>
        <v>40.139211752736557</v>
      </c>
      <c r="H2" s="46">
        <f t="shared" ref="H2:H32" si="0">COS(G2*PI()/180)</f>
        <v>0.76448040023263542</v>
      </c>
      <c r="I2" s="46">
        <f t="shared" ref="I2:I32" si="1">SIN(G2*PI()/180)</f>
        <v>0.64464697134179538</v>
      </c>
      <c r="J2" s="47">
        <v>0</v>
      </c>
      <c r="K2" s="47">
        <f t="shared" ref="K2:K33" si="2">COS(J2*PI()/180)</f>
        <v>1</v>
      </c>
      <c r="L2" s="47">
        <f t="shared" ref="L2:L33" si="3">SIN(J2*PI()/180)</f>
        <v>0</v>
      </c>
    </row>
    <row r="3" spans="1:12" ht="16">
      <c r="A3" s="16" t="s">
        <v>37</v>
      </c>
      <c r="B3" s="16" t="s">
        <v>37</v>
      </c>
      <c r="C3" s="16" t="s">
        <v>37</v>
      </c>
      <c r="D3" s="12">
        <f>'declin  dist'!$D$3</f>
        <v>2</v>
      </c>
      <c r="E3" s="16">
        <f>'declin  dist'!$E$2</f>
        <v>5</v>
      </c>
      <c r="F3" s="16">
        <f>'declin  dist'!$F$3</f>
        <v>2</v>
      </c>
      <c r="G3" s="48">
        <f>calc!$R$3</f>
        <v>41.109943166538706</v>
      </c>
      <c r="H3" s="46">
        <f t="shared" si="0"/>
        <v>0.75344929940117256</v>
      </c>
      <c r="I3" s="46">
        <f t="shared" si="1"/>
        <v>0.65750601003479969</v>
      </c>
      <c r="J3" s="47">
        <v>3</v>
      </c>
      <c r="K3" s="47">
        <f t="shared" si="2"/>
        <v>0.99862953475457383</v>
      </c>
      <c r="L3" s="47">
        <f t="shared" si="3"/>
        <v>5.2335956242943828E-2</v>
      </c>
    </row>
    <row r="4" spans="1:12" ht="16">
      <c r="D4" s="12">
        <f>'declin  dist'!$D$4</f>
        <v>3</v>
      </c>
      <c r="E4" s="16">
        <f>'declin  dist'!$E$2</f>
        <v>5</v>
      </c>
      <c r="F4" s="16">
        <f>'declin  dist'!$F$4</f>
        <v>3</v>
      </c>
      <c r="G4" s="48">
        <f>calc!$R$4</f>
        <v>42.080187123891626</v>
      </c>
      <c r="H4" s="46">
        <f t="shared" si="0"/>
        <v>0.74220763008195434</v>
      </c>
      <c r="I4" s="46">
        <f t="shared" si="1"/>
        <v>0.67017000369169666</v>
      </c>
      <c r="J4" s="47">
        <v>6</v>
      </c>
      <c r="K4" s="47">
        <f t="shared" si="2"/>
        <v>0.99452189536827329</v>
      </c>
      <c r="L4" s="47">
        <f t="shared" si="3"/>
        <v>0.10452846326765346</v>
      </c>
    </row>
    <row r="5" spans="1:12" ht="16">
      <c r="D5" s="12">
        <f>'declin  dist'!$D$5</f>
        <v>4</v>
      </c>
      <c r="E5" s="16">
        <f>'declin  dist'!$E$2</f>
        <v>5</v>
      </c>
      <c r="F5" s="16">
        <f>'declin  dist'!$F$5</f>
        <v>4</v>
      </c>
      <c r="G5" s="48">
        <f>calc!$R$5</f>
        <v>43.04994850467407</v>
      </c>
      <c r="H5" s="46">
        <f t="shared" si="0"/>
        <v>0.73075888090003505</v>
      </c>
      <c r="I5" s="46">
        <f t="shared" si="1"/>
        <v>0.68263567002151915</v>
      </c>
      <c r="J5" s="47">
        <v>9</v>
      </c>
      <c r="K5" s="47">
        <f t="shared" si="2"/>
        <v>0.98768834059513777</v>
      </c>
      <c r="L5" s="47">
        <f t="shared" si="3"/>
        <v>0.15643446504023087</v>
      </c>
    </row>
    <row r="6" spans="1:12" ht="16">
      <c r="D6" s="12">
        <f>'declin  dist'!$D$6</f>
        <v>5</v>
      </c>
      <c r="E6" s="16">
        <f>'declin  dist'!$E$2</f>
        <v>5</v>
      </c>
      <c r="F6" s="16">
        <f>'declin  dist'!$F$6</f>
        <v>5</v>
      </c>
      <c r="G6" s="48">
        <f>calc!$R$6</f>
        <v>44.019232314068745</v>
      </c>
      <c r="H6" s="46">
        <f t="shared" si="0"/>
        <v>0.71910658578568865</v>
      </c>
      <c r="I6" s="46">
        <f t="shared" si="1"/>
        <v>0.69489979009901137</v>
      </c>
      <c r="J6" s="47">
        <v>12</v>
      </c>
      <c r="K6" s="47">
        <f t="shared" si="2"/>
        <v>0.97814760073380569</v>
      </c>
      <c r="L6" s="47">
        <f t="shared" si="3"/>
        <v>0.20791169081775931</v>
      </c>
    </row>
    <row r="7" spans="1:12" ht="16">
      <c r="D7" s="12">
        <f>'declin  dist'!$D$7</f>
        <v>6</v>
      </c>
      <c r="E7" s="16">
        <f>'declin  dist'!$E$2</f>
        <v>5</v>
      </c>
      <c r="F7" s="16">
        <f>'declin  dist'!$F$7</f>
        <v>6</v>
      </c>
      <c r="G7" s="48">
        <f>calc!$R$7</f>
        <v>44.988043680778098</v>
      </c>
      <c r="H7" s="46">
        <f t="shared" si="0"/>
        <v>0.70725432280812794</v>
      </c>
      <c r="I7" s="46">
        <f t="shared" si="1"/>
        <v>0.70695920877319107</v>
      </c>
      <c r="J7" s="47">
        <v>15</v>
      </c>
      <c r="K7" s="47">
        <f t="shared" si="2"/>
        <v>0.96592582628906831</v>
      </c>
      <c r="L7" s="47">
        <f t="shared" si="3"/>
        <v>0.25881904510252074</v>
      </c>
    </row>
    <row r="8" spans="1:12" ht="16">
      <c r="D8" s="12">
        <f>'declin  dist'!$D$8</f>
        <v>7</v>
      </c>
      <c r="E8" s="16">
        <f>'declin  dist'!$E$2</f>
        <v>5</v>
      </c>
      <c r="F8" s="16">
        <f>'declin  dist'!$F$8</f>
        <v>7</v>
      </c>
      <c r="G8" s="48">
        <f>calc!$R$8</f>
        <v>45.956387855217912</v>
      </c>
      <c r="H8" s="46">
        <f t="shared" si="0"/>
        <v>0.69520571301450973</v>
      </c>
      <c r="I8" s="46">
        <f t="shared" si="1"/>
        <v>0.71881083505466659</v>
      </c>
      <c r="J8" s="47">
        <v>18</v>
      </c>
      <c r="K8" s="47">
        <f t="shared" si="2"/>
        <v>0.95105651629515353</v>
      </c>
      <c r="L8" s="47">
        <f t="shared" si="3"/>
        <v>0.3090169943749474</v>
      </c>
    </row>
    <row r="9" spans="1:12" ht="16">
      <c r="D9" s="12">
        <f>'declin  dist'!$D$9</f>
        <v>8</v>
      </c>
      <c r="E9" s="16">
        <f>'declin  dist'!$E$2</f>
        <v>5</v>
      </c>
      <c r="F9" s="16">
        <f>'declin  dist'!$F$9</f>
        <v>8</v>
      </c>
      <c r="G9" s="48">
        <f>calc!$R$9</f>
        <v>46.924270207696459</v>
      </c>
      <c r="H9" s="46">
        <f t="shared" si="0"/>
        <v>0.68296441927448603</v>
      </c>
      <c r="I9" s="46">
        <f t="shared" si="1"/>
        <v>0.73045164248228234</v>
      </c>
      <c r="J9" s="47">
        <v>21</v>
      </c>
      <c r="K9" s="47">
        <f t="shared" si="2"/>
        <v>0.93358042649720174</v>
      </c>
      <c r="L9" s="47">
        <f t="shared" si="3"/>
        <v>0.35836794954530027</v>
      </c>
    </row>
    <row r="10" spans="1:12" ht="16">
      <c r="D10" s="12">
        <f>'declin  dist'!$D$10</f>
        <v>9</v>
      </c>
      <c r="E10" s="16">
        <f>'declin  dist'!$E$2</f>
        <v>5</v>
      </c>
      <c r="F10" s="16">
        <f>'declin  dist'!$F$10</f>
        <v>9</v>
      </c>
      <c r="G10" s="48">
        <f>calc!$R$10</f>
        <v>47.891696226586056</v>
      </c>
      <c r="H10" s="46">
        <f t="shared" si="0"/>
        <v>0.670534145130537</v>
      </c>
      <c r="I10" s="46">
        <f t="shared" si="1"/>
        <v>0.7418786694696512</v>
      </c>
      <c r="J10" s="47">
        <v>24</v>
      </c>
      <c r="K10" s="47">
        <f t="shared" si="2"/>
        <v>0.91354545764260087</v>
      </c>
      <c r="L10" s="47">
        <f t="shared" si="3"/>
        <v>0.40673664307580015</v>
      </c>
    </row>
    <row r="11" spans="1:12" ht="16">
      <c r="D11" s="12">
        <f>'declin  dist'!$D$11</f>
        <v>10</v>
      </c>
      <c r="E11" s="16">
        <f>'declin  dist'!$E$2</f>
        <v>5</v>
      </c>
      <c r="F11" s="16">
        <f>'declin  dist'!$F$11</f>
        <v>10</v>
      </c>
      <c r="G11" s="48">
        <f>calc!$R$11</f>
        <v>48.858671516472434</v>
      </c>
      <c r="H11" s="46">
        <f t="shared" si="0"/>
        <v>0.65791863365457481</v>
      </c>
      <c r="I11" s="46">
        <f t="shared" si="1"/>
        <v>0.75308901963187413</v>
      </c>
      <c r="J11" s="47">
        <v>27</v>
      </c>
      <c r="K11" s="47">
        <f t="shared" si="2"/>
        <v>0.8910065241883679</v>
      </c>
      <c r="L11" s="47">
        <f t="shared" si="3"/>
        <v>0.45399049973954675</v>
      </c>
    </row>
    <row r="12" spans="1:12" ht="16">
      <c r="D12" s="12">
        <f>'declin  dist'!$D$12</f>
        <v>11</v>
      </c>
      <c r="E12" s="16">
        <f>'declin  dist'!$E$2</f>
        <v>5</v>
      </c>
      <c r="F12" s="16">
        <f>'declin  dist'!$F$12</f>
        <v>11</v>
      </c>
      <c r="G12" s="48">
        <f>calc!$R$12</f>
        <v>49.825201796298536</v>
      </c>
      <c r="H12" s="46">
        <f t="shared" si="0"/>
        <v>0.64512166631089352</v>
      </c>
      <c r="I12" s="46">
        <f t="shared" si="1"/>
        <v>0.76407986209312972</v>
      </c>
      <c r="J12" s="47">
        <v>30</v>
      </c>
      <c r="K12" s="47">
        <f t="shared" si="2"/>
        <v>0.86602540378443871</v>
      </c>
      <c r="L12" s="47">
        <f t="shared" si="3"/>
        <v>0.49999999999999994</v>
      </c>
    </row>
    <row r="13" spans="1:12" ht="16">
      <c r="D13" s="12">
        <f>'declin  dist'!$D$13</f>
        <v>12</v>
      </c>
      <c r="E13" s="16">
        <f>'declin  dist'!$E$2</f>
        <v>5</v>
      </c>
      <c r="F13" s="16">
        <f>'declin  dist'!$F$13</f>
        <v>12</v>
      </c>
      <c r="G13" s="48">
        <f>calc!$R$13</f>
        <v>50.79129289749401</v>
      </c>
      <c r="H13" s="46">
        <f t="shared" si="0"/>
        <v>0.63214706182584246</v>
      </c>
      <c r="I13" s="46">
        <f t="shared" si="1"/>
        <v>0.77484843177550178</v>
      </c>
      <c r="J13" s="47">
        <v>33</v>
      </c>
      <c r="K13" s="47">
        <f t="shared" si="2"/>
        <v>0.83867056794542405</v>
      </c>
      <c r="L13" s="47">
        <f t="shared" si="3"/>
        <v>0.54463903501502708</v>
      </c>
    </row>
    <row r="14" spans="1:12" ht="16">
      <c r="D14" s="12">
        <f>'declin  dist'!$D$14</f>
        <v>13</v>
      </c>
      <c r="E14" s="16">
        <f>'declin  dist'!$E$2</f>
        <v>5</v>
      </c>
      <c r="F14" s="16">
        <f>'declin  dist'!$F$14</f>
        <v>13</v>
      </c>
      <c r="G14" s="48">
        <f>calc!$R$14</f>
        <v>51.756950762091357</v>
      </c>
      <c r="H14" s="46">
        <f t="shared" si="0"/>
        <v>0.61899867506445572</v>
      </c>
      <c r="I14" s="46">
        <f t="shared" si="1"/>
        <v>0.78539202966954558</v>
      </c>
      <c r="J14" s="47">
        <v>36</v>
      </c>
      <c r="K14" s="47">
        <f t="shared" si="2"/>
        <v>0.80901699437494745</v>
      </c>
      <c r="L14" s="47">
        <f t="shared" si="3"/>
        <v>0.58778525229247314</v>
      </c>
    </row>
    <row r="15" spans="1:12" ht="16">
      <c r="D15" s="12">
        <f>'declin  dist'!$D$15</f>
        <v>14</v>
      </c>
      <c r="E15" s="16">
        <f>'declin  dist'!$E$2</f>
        <v>5</v>
      </c>
      <c r="F15" s="16">
        <f>'declin  dist'!$F$15</f>
        <v>14</v>
      </c>
      <c r="G15" s="48">
        <f>calc!$R$15</f>
        <v>52.722181440838369</v>
      </c>
      <c r="H15" s="46">
        <f t="shared" si="0"/>
        <v>0.60568039591413791</v>
      </c>
      <c r="I15" s="46">
        <f t="shared" si="1"/>
        <v>0.79570802308717059</v>
      </c>
      <c r="J15" s="47">
        <v>39</v>
      </c>
      <c r="K15" s="47">
        <f t="shared" si="2"/>
        <v>0.7771459614569709</v>
      </c>
      <c r="L15" s="47">
        <f t="shared" si="3"/>
        <v>0.62932039104983739</v>
      </c>
    </row>
    <row r="16" spans="1:12" ht="16">
      <c r="D16" s="12">
        <f>'declin  dist'!$D$16</f>
        <v>15</v>
      </c>
      <c r="E16" s="16">
        <f>'declin  dist'!$E$2</f>
        <v>5</v>
      </c>
      <c r="F16" s="16">
        <f>'declin  dist'!$F$16</f>
        <v>15</v>
      </c>
      <c r="G16" s="48">
        <f>calc!$R$16</f>
        <v>53.686991091291745</v>
      </c>
      <c r="H16" s="46">
        <f t="shared" si="0"/>
        <v>0.59219614817581567</v>
      </c>
      <c r="I16" s="46">
        <f t="shared" si="1"/>
        <v>0.80579384589715464</v>
      </c>
      <c r="J16" s="47">
        <v>42</v>
      </c>
      <c r="K16" s="47">
        <f t="shared" si="2"/>
        <v>0.74314482547739424</v>
      </c>
      <c r="L16" s="47">
        <f t="shared" si="3"/>
        <v>0.66913060635885824</v>
      </c>
    </row>
    <row r="17" spans="4:12" ht="16">
      <c r="D17" s="12">
        <f>'declin  dist'!$D$17</f>
        <v>16</v>
      </c>
      <c r="E17" s="16">
        <f>'declin  dist'!$E$2</f>
        <v>5</v>
      </c>
      <c r="F17" s="16">
        <f>'declin  dist'!$F$17</f>
        <v>16</v>
      </c>
      <c r="G17" s="48">
        <f>calc!$R$17</f>
        <v>54.65138597590547</v>
      </c>
      <c r="H17" s="46">
        <f t="shared" si="0"/>
        <v>0.57854988846256483</v>
      </c>
      <c r="I17" s="46">
        <f t="shared" si="1"/>
        <v>0.81564699874391355</v>
      </c>
      <c r="J17" s="47">
        <v>45</v>
      </c>
      <c r="K17" s="47">
        <f t="shared" si="2"/>
        <v>0.70710678118654757</v>
      </c>
      <c r="L17" s="47">
        <f t="shared" si="3"/>
        <v>0.70710678118654746</v>
      </c>
    </row>
    <row r="18" spans="4:12" ht="16">
      <c r="D18" s="12">
        <f>'declin  dist'!$D$18</f>
        <v>17</v>
      </c>
      <c r="E18" s="16">
        <f>'declin  dist'!$E$2</f>
        <v>5</v>
      </c>
      <c r="F18" s="16">
        <f>'declin  dist'!$F$18</f>
        <v>17</v>
      </c>
      <c r="G18" s="48">
        <f>calc!$R$18</f>
        <v>55.61537246011477</v>
      </c>
      <c r="H18" s="46">
        <f t="shared" si="0"/>
        <v>0.56474560510586502</v>
      </c>
      <c r="I18" s="46">
        <f t="shared" si="1"/>
        <v>0.82526504925000332</v>
      </c>
      <c r="J18" s="47">
        <v>48</v>
      </c>
      <c r="K18" s="47">
        <f t="shared" si="2"/>
        <v>0.66913060635885824</v>
      </c>
      <c r="L18" s="47">
        <f t="shared" si="3"/>
        <v>0.74314482547739413</v>
      </c>
    </row>
    <row r="19" spans="4:12" ht="16">
      <c r="D19" s="12">
        <f>'declin  dist'!$D$19</f>
        <v>18</v>
      </c>
      <c r="E19" s="16">
        <f>'declin  dist'!$E$2</f>
        <v>5</v>
      </c>
      <c r="F19" s="16">
        <f>'declin  dist'!$F$19</f>
        <v>18</v>
      </c>
      <c r="G19" s="48">
        <f>calc!$R$19</f>
        <v>56.57895701040043</v>
      </c>
      <c r="H19" s="46">
        <f t="shared" si="0"/>
        <v>0.55078731706985462</v>
      </c>
      <c r="I19" s="46">
        <f t="shared" si="1"/>
        <v>0.83464563220266808</v>
      </c>
      <c r="J19" s="47">
        <v>51</v>
      </c>
      <c r="K19" s="47">
        <f t="shared" si="2"/>
        <v>0.6293203910498375</v>
      </c>
      <c r="L19" s="47">
        <f t="shared" si="3"/>
        <v>0.77714596145697079</v>
      </c>
    </row>
    <row r="20" spans="4:12" ht="16">
      <c r="D20" s="12">
        <f>'declin  dist'!$D$20</f>
        <v>19</v>
      </c>
      <c r="E20" s="16">
        <f>'declin  dist'!$E$2</f>
        <v>5</v>
      </c>
      <c r="F20" s="16">
        <f>'declin  dist'!$F$20</f>
        <v>19</v>
      </c>
      <c r="G20" s="48">
        <f>calc!$R$20</f>
        <v>57.54214619235875</v>
      </c>
      <c r="H20" s="46">
        <f t="shared" si="0"/>
        <v>0.53667907287336136</v>
      </c>
      <c r="I20" s="46">
        <f t="shared" si="1"/>
        <v>0.84378644972515959</v>
      </c>
      <c r="J20" s="47">
        <v>54</v>
      </c>
      <c r="K20" s="47">
        <f t="shared" si="2"/>
        <v>0.58778525229247314</v>
      </c>
      <c r="L20" s="47">
        <f t="shared" si="3"/>
        <v>0.80901699437494745</v>
      </c>
    </row>
    <row r="21" spans="4:12" ht="16">
      <c r="D21" s="12">
        <f>'declin  dist'!$D$21</f>
        <v>20</v>
      </c>
      <c r="E21" s="16">
        <f>'declin  dist'!$E$2</f>
        <v>5</v>
      </c>
      <c r="F21" s="16">
        <f>'declin  dist'!$F$21</f>
        <v>20</v>
      </c>
      <c r="G21" s="48">
        <f>calc!$R$21</f>
        <v>58.504946668752865</v>
      </c>
      <c r="H21" s="46">
        <f t="shared" si="0"/>
        <v>0.52242494952017371</v>
      </c>
      <c r="I21" s="46">
        <f t="shared" si="1"/>
        <v>0.85268527143304407</v>
      </c>
      <c r="J21" s="47">
        <v>57</v>
      </c>
      <c r="K21" s="47">
        <f t="shared" si="2"/>
        <v>0.5446390350150272</v>
      </c>
      <c r="L21" s="47">
        <f t="shared" si="3"/>
        <v>0.83867056794542394</v>
      </c>
    </row>
    <row r="22" spans="4:12" ht="16">
      <c r="D22" s="12">
        <f>'declin  dist'!$D$22</f>
        <v>21</v>
      </c>
      <c r="E22" s="16">
        <f>'declin  dist'!$E$2</f>
        <v>5</v>
      </c>
      <c r="F22" s="16">
        <f>'declin  dist'!$F$22</f>
        <v>21</v>
      </c>
      <c r="G22" s="48">
        <f>calc!$R$22</f>
        <v>59.467365197561961</v>
      </c>
      <c r="H22" s="46">
        <f t="shared" si="0"/>
        <v>0.50802905143741894</v>
      </c>
      <c r="I22" s="46">
        <f t="shared" si="1"/>
        <v>0.8613399345761209</v>
      </c>
      <c r="J22" s="47">
        <v>60</v>
      </c>
      <c r="K22" s="47">
        <f t="shared" si="2"/>
        <v>0.50000000000000011</v>
      </c>
      <c r="L22" s="47">
        <f t="shared" si="3"/>
        <v>0.8660254037844386</v>
      </c>
    </row>
    <row r="23" spans="4:12" ht="16">
      <c r="D23" s="12">
        <f>'declin  dist'!$D$23</f>
        <v>22</v>
      </c>
      <c r="E23" s="16">
        <f>'declin  dist'!$E$2</f>
        <v>5</v>
      </c>
      <c r="F23" s="16">
        <f>'declin  dist'!$F$23</f>
        <v>22</v>
      </c>
      <c r="G23" s="48">
        <f>calc!$R$23</f>
        <v>60.429408630026487</v>
      </c>
      <c r="H23" s="46">
        <f t="shared" si="0"/>
        <v>0.4934955094221582</v>
      </c>
      <c r="I23" s="46">
        <f t="shared" si="1"/>
        <v>0.86974834416638269</v>
      </c>
      <c r="J23" s="47">
        <v>63</v>
      </c>
      <c r="K23" s="47">
        <f t="shared" si="2"/>
        <v>0.4539904997395468</v>
      </c>
      <c r="L23" s="47">
        <f t="shared" si="3"/>
        <v>0.89100652418836779</v>
      </c>
    </row>
    <row r="24" spans="4:12" ht="16">
      <c r="D24" s="12">
        <f>'declin  dist'!$D$24</f>
        <v>23</v>
      </c>
      <c r="E24" s="16">
        <f>'declin  dist'!$E$2</f>
        <v>5</v>
      </c>
      <c r="F24" s="16">
        <f>'declin  dist'!$F$24</f>
        <v>23</v>
      </c>
      <c r="G24" s="48">
        <f>calc!$R$24</f>
        <v>61.391083908679988</v>
      </c>
      <c r="H24" s="46">
        <f t="shared" si="0"/>
        <v>0.47882847959640484</v>
      </c>
      <c r="I24" s="46">
        <f t="shared" si="1"/>
        <v>0.87790847309238074</v>
      </c>
      <c r="J24" s="47">
        <v>66</v>
      </c>
      <c r="K24" s="47">
        <f t="shared" si="2"/>
        <v>0.40673664307580021</v>
      </c>
      <c r="L24" s="47">
        <f t="shared" si="3"/>
        <v>0.91354545764260087</v>
      </c>
    </row>
    <row r="25" spans="4:12" ht="16">
      <c r="D25" s="12">
        <f>'declin  dist'!$D$25</f>
        <v>24</v>
      </c>
      <c r="E25" s="16">
        <f>'declin  dist'!$E$2</f>
        <v>5</v>
      </c>
      <c r="F25" s="16">
        <f>'declin  dist'!$F$25</f>
        <v>24</v>
      </c>
      <c r="G25" s="48">
        <f>calc!$R$25</f>
        <v>62.352398065386417</v>
      </c>
      <c r="H25" s="46">
        <f t="shared" si="0"/>
        <v>0.46403214237034024</v>
      </c>
      <c r="I25" s="46">
        <f t="shared" si="1"/>
        <v>0.88581836222060351</v>
      </c>
      <c r="J25" s="47">
        <v>69</v>
      </c>
      <c r="K25" s="47">
        <f t="shared" si="2"/>
        <v>0.35836794954530038</v>
      </c>
      <c r="L25" s="47">
        <f t="shared" si="3"/>
        <v>0.93358042649720174</v>
      </c>
    </row>
    <row r="26" spans="4:12" ht="16">
      <c r="D26" s="12">
        <f>'declin  dist'!$D$26</f>
        <v>25</v>
      </c>
      <c r="E26" s="16">
        <f>'declin  dist'!$E$2</f>
        <v>5</v>
      </c>
      <c r="F26" s="16">
        <f>'declin  dist'!$F$26</f>
        <v>25</v>
      </c>
      <c r="G26" s="48">
        <f>calc!$R$26</f>
        <v>63.313358219358946</v>
      </c>
      <c r="H26" s="46">
        <f t="shared" si="0"/>
        <v>0.44911070141412474</v>
      </c>
      <c r="I26" s="46">
        <f t="shared" si="1"/>
        <v>0.89347612048409719</v>
      </c>
      <c r="J26" s="47">
        <v>72</v>
      </c>
      <c r="K26" s="47">
        <f t="shared" si="2"/>
        <v>0.30901699437494745</v>
      </c>
      <c r="L26" s="47">
        <f t="shared" si="3"/>
        <v>0.95105651629515353</v>
      </c>
    </row>
    <row r="27" spans="4:12" ht="16">
      <c r="D27" s="12">
        <f>'declin  dist'!$D$27</f>
        <v>26</v>
      </c>
      <c r="E27" s="16">
        <f>'declin  dist'!$E$2</f>
        <v>5</v>
      </c>
      <c r="F27" s="16">
        <f>'declin  dist'!$F$27</f>
        <v>26</v>
      </c>
      <c r="G27" s="48">
        <f>calc!$R$27</f>
        <v>64.273971575182657</v>
      </c>
      <c r="H27" s="46">
        <f t="shared" si="0"/>
        <v>0.43406838263799036</v>
      </c>
      <c r="I27" s="46">
        <f t="shared" si="1"/>
        <v>0.90087992495894764</v>
      </c>
      <c r="J27" s="47">
        <v>75</v>
      </c>
      <c r="K27" s="47">
        <f t="shared" si="2"/>
        <v>0.25881904510252074</v>
      </c>
      <c r="L27" s="47">
        <f t="shared" si="3"/>
        <v>0.96592582628906831</v>
      </c>
    </row>
    <row r="28" spans="4:12" ht="16">
      <c r="D28" s="12">
        <f>'declin  dist'!$D$28</f>
        <v>27</v>
      </c>
      <c r="E28" s="16">
        <f>'declin  dist'!$E$2</f>
        <v>5</v>
      </c>
      <c r="F28" s="16">
        <f>'declin  dist'!$F$28</f>
        <v>27</v>
      </c>
      <c r="G28" s="48">
        <f>calc!$R$28</f>
        <v>65.234245420832778</v>
      </c>
      <c r="H28" s="46">
        <f t="shared" si="0"/>
        <v>0.41890943318074092</v>
      </c>
      <c r="I28" s="46">
        <f t="shared" si="1"/>
        <v>0.90802802092897461</v>
      </c>
      <c r="J28" s="47">
        <v>78</v>
      </c>
      <c r="K28" s="47">
        <f t="shared" si="2"/>
        <v>0.20791169081775945</v>
      </c>
      <c r="L28" s="47">
        <f t="shared" si="3"/>
        <v>0.97814760073380558</v>
      </c>
    </row>
    <row r="29" spans="4:12" ht="16">
      <c r="D29" s="12">
        <f>'declin  dist'!$D$29</f>
        <v>28</v>
      </c>
      <c r="E29" s="16">
        <f>'declin  dist'!$E$2</f>
        <v>5</v>
      </c>
      <c r="F29" s="16">
        <f>'declin  dist'!$F$29</f>
        <v>28</v>
      </c>
      <c r="G29" s="48">
        <f>calc!$R$29</f>
        <v>66.194187125682888</v>
      </c>
      <c r="H29" s="46">
        <f t="shared" si="0"/>
        <v>0.40363812040675295</v>
      </c>
      <c r="I29" s="46">
        <f t="shared" si="1"/>
        <v>0.9149187219390057</v>
      </c>
      <c r="J29" s="47">
        <v>81</v>
      </c>
      <c r="K29" s="47">
        <f t="shared" si="2"/>
        <v>0.15643446504023092</v>
      </c>
      <c r="L29" s="47">
        <f t="shared" si="3"/>
        <v>0.98768834059513777</v>
      </c>
    </row>
    <row r="30" spans="4:12" ht="16">
      <c r="D30" s="12">
        <f>'declin  dist'!$D$30</f>
        <v>29</v>
      </c>
      <c r="E30" s="16">
        <f>'declin  dist'!$E$30</f>
        <v>5</v>
      </c>
      <c r="F30" s="16">
        <f>'declin  dist'!$F$30</f>
        <v>29</v>
      </c>
      <c r="G30" s="48">
        <f>calc!$R$30</f>
        <v>67.153804138515511</v>
      </c>
      <c r="H30" s="46">
        <f t="shared" si="0"/>
        <v>0.38825873091125157</v>
      </c>
      <c r="I30" s="46">
        <f t="shared" si="1"/>
        <v>0.92155040983723968</v>
      </c>
      <c r="J30" s="47">
        <v>84</v>
      </c>
      <c r="K30" s="47">
        <f t="shared" si="2"/>
        <v>0.10452846326765346</v>
      </c>
      <c r="L30" s="47">
        <f t="shared" si="3"/>
        <v>0.99452189536827329</v>
      </c>
    </row>
    <row r="31" spans="4:12" ht="16">
      <c r="D31" s="12">
        <f>'declin  dist'!$D$31</f>
        <v>30</v>
      </c>
      <c r="E31" s="16">
        <f>'declin  dist'!$E$31</f>
        <v>5</v>
      </c>
      <c r="F31" s="16">
        <f>'declin  dist'!$F$31</f>
        <v>30</v>
      </c>
      <c r="G31" s="48">
        <f>calc!$R$31</f>
        <v>68.11310398552682</v>
      </c>
      <c r="H31" s="46">
        <f t="shared" si="0"/>
        <v>0.3727755695339659</v>
      </c>
      <c r="I31" s="46">
        <f t="shared" si="1"/>
        <v>0.92792153480702633</v>
      </c>
      <c r="J31" s="47">
        <v>87</v>
      </c>
      <c r="K31" s="47">
        <f t="shared" si="2"/>
        <v>5.2335956242943966E-2</v>
      </c>
      <c r="L31" s="47">
        <f t="shared" si="3"/>
        <v>0.99862953475457383</v>
      </c>
    </row>
    <row r="32" spans="4:12" ht="16">
      <c r="D32" s="12">
        <f>'declin  dist'!$D$32</f>
        <v>31</v>
      </c>
      <c r="E32" s="16">
        <f>'declin  dist'!$E$32</f>
        <v>5</v>
      </c>
      <c r="F32" s="16">
        <f>'declin  dist'!$F$32</f>
        <v>31</v>
      </c>
      <c r="G32" s="48">
        <f>calc!$R$32</f>
        <v>69.072094268323227</v>
      </c>
      <c r="H32" s="46">
        <f t="shared" si="0"/>
        <v>0.35719295838114945</v>
      </c>
      <c r="I32" s="46">
        <f t="shared" si="1"/>
        <v>0.93403061538844778</v>
      </c>
      <c r="J32" s="47">
        <v>90</v>
      </c>
      <c r="K32" s="47">
        <f t="shared" si="2"/>
        <v>6.1257422745431001E-17</v>
      </c>
      <c r="L32" s="47">
        <f t="shared" si="3"/>
        <v>1</v>
      </c>
    </row>
    <row r="33" spans="5:12" customFormat="1" ht="16">
      <c r="E33" s="16"/>
      <c r="G33" s="39"/>
      <c r="H33" s="46"/>
      <c r="I33" s="46"/>
      <c r="J33" s="47">
        <v>93</v>
      </c>
      <c r="K33" s="47">
        <f t="shared" si="2"/>
        <v>-5.233595624294362E-2</v>
      </c>
      <c r="L33" s="47">
        <f t="shared" si="3"/>
        <v>0.99862953475457383</v>
      </c>
    </row>
    <row r="34" spans="5:12" customFormat="1" ht="16">
      <c r="E34" s="16"/>
      <c r="G34" s="39"/>
      <c r="H34" s="46"/>
      <c r="I34" s="46"/>
      <c r="J34" s="47">
        <v>96</v>
      </c>
      <c r="K34" s="47">
        <f t="shared" ref="K34:K65" si="4">COS(J34*PI()/180)</f>
        <v>-0.10452846326765333</v>
      </c>
      <c r="L34" s="47">
        <f t="shared" ref="L34:L65" si="5">SIN(J34*PI()/180)</f>
        <v>0.9945218953682734</v>
      </c>
    </row>
    <row r="35" spans="5:12" customFormat="1" ht="16">
      <c r="E35" s="16"/>
      <c r="G35" s="39"/>
      <c r="H35" s="46"/>
      <c r="I35" s="46"/>
      <c r="J35" s="47">
        <v>99</v>
      </c>
      <c r="K35" s="47">
        <f t="shared" si="4"/>
        <v>-0.15643446504023104</v>
      </c>
      <c r="L35" s="47">
        <f t="shared" si="5"/>
        <v>0.98768834059513766</v>
      </c>
    </row>
    <row r="36" spans="5:12" customFormat="1" ht="16">
      <c r="E36" s="16"/>
      <c r="G36" s="39"/>
      <c r="H36" s="46"/>
      <c r="I36" s="46"/>
      <c r="J36" s="47">
        <v>102</v>
      </c>
      <c r="K36" s="47">
        <f t="shared" si="4"/>
        <v>-0.20791169081775912</v>
      </c>
      <c r="L36" s="47">
        <f t="shared" si="5"/>
        <v>0.97814760073380569</v>
      </c>
    </row>
    <row r="37" spans="5:12" customFormat="1" ht="16">
      <c r="E37" s="16"/>
      <c r="G37" s="39"/>
      <c r="H37" s="46"/>
      <c r="I37" s="46"/>
      <c r="J37" s="47">
        <v>105</v>
      </c>
      <c r="K37" s="47">
        <f t="shared" si="4"/>
        <v>-0.25881904510252085</v>
      </c>
      <c r="L37" s="47">
        <f t="shared" si="5"/>
        <v>0.96592582628906831</v>
      </c>
    </row>
    <row r="38" spans="5:12" customFormat="1" ht="16">
      <c r="E38" s="16"/>
      <c r="G38" s="39"/>
      <c r="H38" s="46"/>
      <c r="I38" s="46"/>
      <c r="J38" s="47">
        <v>108</v>
      </c>
      <c r="K38" s="47">
        <f t="shared" si="4"/>
        <v>-0.30901699437494734</v>
      </c>
      <c r="L38" s="47">
        <f t="shared" si="5"/>
        <v>0.95105651629515364</v>
      </c>
    </row>
    <row r="39" spans="5:12" customFormat="1" ht="16">
      <c r="E39" s="16"/>
      <c r="G39" s="39"/>
      <c r="H39" s="46"/>
      <c r="I39" s="46"/>
      <c r="J39" s="47">
        <v>111</v>
      </c>
      <c r="K39" s="47">
        <f t="shared" si="4"/>
        <v>-0.35836794954530027</v>
      </c>
      <c r="L39" s="47">
        <f t="shared" si="5"/>
        <v>0.93358042649720174</v>
      </c>
    </row>
    <row r="40" spans="5:12" customFormat="1" ht="16">
      <c r="E40" s="16"/>
      <c r="G40" s="39"/>
      <c r="H40" s="46"/>
      <c r="I40" s="46"/>
      <c r="J40" s="47">
        <v>114</v>
      </c>
      <c r="K40" s="47">
        <f t="shared" si="4"/>
        <v>-0.40673664307580004</v>
      </c>
      <c r="L40" s="47">
        <f t="shared" si="5"/>
        <v>0.91354545764260098</v>
      </c>
    </row>
    <row r="41" spans="5:12" customFormat="1" ht="16">
      <c r="E41" s="16"/>
      <c r="G41" s="39"/>
      <c r="H41" s="46"/>
      <c r="I41" s="46"/>
      <c r="J41" s="47">
        <v>117</v>
      </c>
      <c r="K41" s="47">
        <f t="shared" si="4"/>
        <v>-0.45399049973954669</v>
      </c>
      <c r="L41" s="47">
        <f t="shared" si="5"/>
        <v>0.8910065241883679</v>
      </c>
    </row>
    <row r="42" spans="5:12" customFormat="1" ht="16">
      <c r="E42" s="16"/>
      <c r="G42" s="39"/>
      <c r="H42" s="46"/>
      <c r="I42" s="46"/>
      <c r="J42" s="47">
        <v>120</v>
      </c>
      <c r="K42" s="47">
        <f t="shared" si="4"/>
        <v>-0.49999999999999978</v>
      </c>
      <c r="L42" s="47">
        <f t="shared" si="5"/>
        <v>0.86602540378443871</v>
      </c>
    </row>
    <row r="43" spans="5:12" customFormat="1" ht="16">
      <c r="E43" s="16"/>
      <c r="G43" s="39"/>
      <c r="H43" s="46"/>
      <c r="I43" s="46"/>
      <c r="J43" s="47">
        <v>123</v>
      </c>
      <c r="K43" s="47">
        <f t="shared" si="4"/>
        <v>-0.54463903501502708</v>
      </c>
      <c r="L43" s="47">
        <f t="shared" si="5"/>
        <v>0.83867056794542394</v>
      </c>
    </row>
    <row r="44" spans="5:12" customFormat="1" ht="16">
      <c r="E44" s="16"/>
      <c r="G44" s="39"/>
      <c r="H44" s="46"/>
      <c r="I44" s="46"/>
      <c r="J44" s="47">
        <v>126</v>
      </c>
      <c r="K44" s="47">
        <f t="shared" si="4"/>
        <v>-0.58778525229247303</v>
      </c>
      <c r="L44" s="47">
        <f t="shared" si="5"/>
        <v>0.80901699437494745</v>
      </c>
    </row>
    <row r="45" spans="5:12" customFormat="1" ht="16">
      <c r="E45" s="16"/>
      <c r="G45" s="39"/>
      <c r="H45" s="46"/>
      <c r="I45" s="46"/>
      <c r="J45" s="47">
        <v>129</v>
      </c>
      <c r="K45" s="47">
        <f t="shared" si="4"/>
        <v>-0.62932039104983728</v>
      </c>
      <c r="L45" s="47">
        <f t="shared" si="5"/>
        <v>0.77714596145697101</v>
      </c>
    </row>
    <row r="46" spans="5:12" customFormat="1" ht="16">
      <c r="E46" s="16"/>
      <c r="G46" s="39"/>
      <c r="H46" s="46"/>
      <c r="I46" s="46"/>
      <c r="J46" s="47">
        <v>132</v>
      </c>
      <c r="K46" s="47">
        <f t="shared" si="4"/>
        <v>-0.66913060635885824</v>
      </c>
      <c r="L46" s="47">
        <f t="shared" si="5"/>
        <v>0.74314482547739424</v>
      </c>
    </row>
    <row r="47" spans="5:12" customFormat="1" ht="16">
      <c r="E47" s="16"/>
      <c r="G47" s="39"/>
      <c r="H47" s="46"/>
      <c r="I47" s="46"/>
      <c r="J47" s="47">
        <v>135</v>
      </c>
      <c r="K47" s="47">
        <f t="shared" si="4"/>
        <v>-0.70710678118654746</v>
      </c>
      <c r="L47" s="47">
        <f t="shared" si="5"/>
        <v>0.70710678118654757</v>
      </c>
    </row>
    <row r="48" spans="5:12" customFormat="1" ht="16">
      <c r="E48" s="16"/>
      <c r="G48" s="39"/>
      <c r="H48" s="46"/>
      <c r="I48" s="46"/>
      <c r="J48" s="47">
        <v>138</v>
      </c>
      <c r="K48" s="47">
        <f t="shared" si="4"/>
        <v>-0.74314482547739402</v>
      </c>
      <c r="L48" s="47">
        <f t="shared" si="5"/>
        <v>0.66913060635885835</v>
      </c>
    </row>
    <row r="49" spans="5:12" customFormat="1" ht="16">
      <c r="E49" s="16"/>
      <c r="G49" s="39"/>
      <c r="H49" s="46"/>
      <c r="I49" s="46"/>
      <c r="J49" s="47">
        <v>141</v>
      </c>
      <c r="K49" s="47">
        <f t="shared" si="4"/>
        <v>-0.77714596145697068</v>
      </c>
      <c r="L49" s="47">
        <f t="shared" si="5"/>
        <v>0.62932039104983772</v>
      </c>
    </row>
    <row r="50" spans="5:12" customFormat="1" ht="16">
      <c r="E50" s="16"/>
      <c r="G50" s="39"/>
      <c r="H50" s="46"/>
      <c r="I50" s="46"/>
      <c r="J50" s="47">
        <v>144</v>
      </c>
      <c r="K50" s="47">
        <f t="shared" si="4"/>
        <v>-0.80901699437494734</v>
      </c>
      <c r="L50" s="47">
        <f t="shared" si="5"/>
        <v>0.58778525229247325</v>
      </c>
    </row>
    <row r="51" spans="5:12" customFormat="1" ht="16">
      <c r="E51" s="16"/>
      <c r="G51" s="48"/>
      <c r="H51" s="46"/>
      <c r="I51" s="46"/>
      <c r="J51" s="47">
        <v>147</v>
      </c>
      <c r="K51" s="47">
        <f t="shared" si="4"/>
        <v>-0.83867056794542416</v>
      </c>
      <c r="L51" s="47">
        <f t="shared" si="5"/>
        <v>0.54463903501502697</v>
      </c>
    </row>
    <row r="52" spans="5:12" ht="16">
      <c r="J52" s="47">
        <v>150</v>
      </c>
      <c r="K52" s="47">
        <f t="shared" si="4"/>
        <v>-0.86602540378443871</v>
      </c>
      <c r="L52" s="47">
        <f t="shared" si="5"/>
        <v>0.49999999999999994</v>
      </c>
    </row>
    <row r="53" spans="5:12" ht="16">
      <c r="J53" s="47">
        <v>153</v>
      </c>
      <c r="K53" s="47">
        <f t="shared" si="4"/>
        <v>-0.89100652418836779</v>
      </c>
      <c r="L53" s="47">
        <f t="shared" si="5"/>
        <v>0.45399049973954686</v>
      </c>
    </row>
    <row r="54" spans="5:12" ht="16">
      <c r="J54" s="47">
        <v>156</v>
      </c>
      <c r="K54" s="47">
        <f t="shared" si="4"/>
        <v>-0.91354545764260076</v>
      </c>
      <c r="L54" s="47">
        <f t="shared" si="5"/>
        <v>0.40673664307580043</v>
      </c>
    </row>
    <row r="55" spans="5:12">
      <c r="J55" s="47">
        <v>159</v>
      </c>
      <c r="K55" s="47">
        <f t="shared" si="4"/>
        <v>-0.93358042649720174</v>
      </c>
      <c r="L55" s="47">
        <f t="shared" si="5"/>
        <v>0.35836794954530021</v>
      </c>
    </row>
    <row r="56" spans="5:12">
      <c r="J56" s="47">
        <v>162</v>
      </c>
      <c r="K56" s="47">
        <f t="shared" si="4"/>
        <v>-0.95105651629515353</v>
      </c>
      <c r="L56" s="47">
        <f t="shared" si="5"/>
        <v>0.30901699437494751</v>
      </c>
    </row>
    <row r="57" spans="5:12">
      <c r="J57" s="47">
        <v>165</v>
      </c>
      <c r="K57" s="47">
        <f t="shared" si="4"/>
        <v>-0.9659258262890682</v>
      </c>
      <c r="L57" s="47">
        <f t="shared" si="5"/>
        <v>0.25881904510252102</v>
      </c>
    </row>
    <row r="58" spans="5:12">
      <c r="J58" s="47">
        <v>168</v>
      </c>
      <c r="K58" s="47">
        <f t="shared" si="4"/>
        <v>-0.97814760073380569</v>
      </c>
      <c r="L58" s="47">
        <f t="shared" si="5"/>
        <v>0.20791169081775931</v>
      </c>
    </row>
    <row r="59" spans="5:12">
      <c r="J59" s="47">
        <v>171</v>
      </c>
      <c r="K59" s="47">
        <f t="shared" si="4"/>
        <v>-0.98768834059513766</v>
      </c>
      <c r="L59" s="47">
        <f t="shared" si="5"/>
        <v>0.15643446504023098</v>
      </c>
    </row>
    <row r="60" spans="5:12">
      <c r="J60" s="47">
        <v>174</v>
      </c>
      <c r="K60" s="47">
        <f t="shared" si="4"/>
        <v>-0.99452189536827329</v>
      </c>
      <c r="L60" s="47">
        <f t="shared" si="5"/>
        <v>0.10452846326765373</v>
      </c>
    </row>
    <row r="61" spans="5:12">
      <c r="J61" s="47">
        <v>177</v>
      </c>
      <c r="K61" s="47">
        <f t="shared" si="4"/>
        <v>-0.99862953475457383</v>
      </c>
      <c r="L61" s="47">
        <f t="shared" si="5"/>
        <v>5.2335956242943807E-2</v>
      </c>
    </row>
    <row r="62" spans="5:12">
      <c r="J62" s="47">
        <v>180</v>
      </c>
      <c r="K62" s="47">
        <f t="shared" si="4"/>
        <v>-1</v>
      </c>
      <c r="L62" s="47">
        <f t="shared" si="5"/>
        <v>1.22514845490862E-16</v>
      </c>
    </row>
    <row r="63" spans="5:12">
      <c r="J63" s="47">
        <v>183</v>
      </c>
      <c r="K63" s="47">
        <f t="shared" si="4"/>
        <v>-0.99862953475457383</v>
      </c>
      <c r="L63" s="47">
        <f t="shared" si="5"/>
        <v>-5.2335956242943557E-2</v>
      </c>
    </row>
    <row r="64" spans="5:12">
      <c r="J64" s="47">
        <v>186</v>
      </c>
      <c r="K64" s="47">
        <f t="shared" si="4"/>
        <v>-0.9945218953682734</v>
      </c>
      <c r="L64" s="47">
        <f t="shared" si="5"/>
        <v>-0.10452846326765305</v>
      </c>
    </row>
    <row r="65" spans="10:12">
      <c r="J65" s="47">
        <v>189</v>
      </c>
      <c r="K65" s="47">
        <f t="shared" si="4"/>
        <v>-0.98768834059513777</v>
      </c>
      <c r="L65" s="47">
        <f t="shared" si="5"/>
        <v>-0.15643446504023073</v>
      </c>
    </row>
    <row r="66" spans="10:12">
      <c r="J66" s="47">
        <v>192</v>
      </c>
      <c r="K66" s="47">
        <f t="shared" ref="K66:K97" si="6">COS(J66*PI()/180)</f>
        <v>-0.97814760073380569</v>
      </c>
      <c r="L66" s="47">
        <f t="shared" ref="L66:L97" si="7">SIN(J66*PI()/180)</f>
        <v>-0.20791169081775907</v>
      </c>
    </row>
    <row r="67" spans="10:12">
      <c r="J67" s="47">
        <v>195</v>
      </c>
      <c r="K67" s="47">
        <f t="shared" si="6"/>
        <v>-0.96592582628906842</v>
      </c>
      <c r="L67" s="47">
        <f t="shared" si="7"/>
        <v>-0.25881904510252035</v>
      </c>
    </row>
    <row r="68" spans="10:12">
      <c r="J68" s="47">
        <v>198</v>
      </c>
      <c r="K68" s="47">
        <f t="shared" si="6"/>
        <v>-0.95105651629515353</v>
      </c>
      <c r="L68" s="47">
        <f t="shared" si="7"/>
        <v>-0.30901699437494773</v>
      </c>
    </row>
    <row r="69" spans="10:12">
      <c r="J69" s="47">
        <v>201</v>
      </c>
      <c r="K69" s="47">
        <f t="shared" si="6"/>
        <v>-0.93358042649720174</v>
      </c>
      <c r="L69" s="47">
        <f t="shared" si="7"/>
        <v>-0.35836794954530043</v>
      </c>
    </row>
    <row r="70" spans="10:12">
      <c r="J70" s="47">
        <v>204</v>
      </c>
      <c r="K70" s="47">
        <f t="shared" si="6"/>
        <v>-0.91354545764260109</v>
      </c>
      <c r="L70" s="47">
        <f t="shared" si="7"/>
        <v>-0.40673664307579982</v>
      </c>
    </row>
    <row r="71" spans="10:12">
      <c r="J71" s="47">
        <v>207</v>
      </c>
      <c r="K71" s="47">
        <f t="shared" si="6"/>
        <v>-0.89100652418836812</v>
      </c>
      <c r="L71" s="47">
        <f t="shared" si="7"/>
        <v>-0.45399049973954625</v>
      </c>
    </row>
    <row r="72" spans="10:12">
      <c r="J72" s="47">
        <v>210</v>
      </c>
      <c r="K72" s="47">
        <f t="shared" si="6"/>
        <v>-0.8660254037844386</v>
      </c>
      <c r="L72" s="47">
        <f t="shared" si="7"/>
        <v>-0.50000000000000011</v>
      </c>
    </row>
    <row r="73" spans="10:12">
      <c r="J73" s="47">
        <v>213</v>
      </c>
      <c r="K73" s="47">
        <f t="shared" si="6"/>
        <v>-0.83867056794542405</v>
      </c>
      <c r="L73" s="47">
        <f t="shared" si="7"/>
        <v>-0.54463903501502708</v>
      </c>
    </row>
    <row r="74" spans="10:12">
      <c r="J74" s="47">
        <v>216</v>
      </c>
      <c r="K74" s="47">
        <f t="shared" si="6"/>
        <v>-0.80901699437494756</v>
      </c>
      <c r="L74" s="47">
        <f t="shared" si="7"/>
        <v>-0.58778525229247303</v>
      </c>
    </row>
    <row r="75" spans="10:12">
      <c r="J75" s="47">
        <v>219</v>
      </c>
      <c r="K75" s="47">
        <f t="shared" si="6"/>
        <v>-0.77714596145697079</v>
      </c>
      <c r="L75" s="47">
        <f t="shared" si="7"/>
        <v>-0.62932039104983761</v>
      </c>
    </row>
    <row r="76" spans="10:12">
      <c r="J76" s="47">
        <v>222</v>
      </c>
      <c r="K76" s="47">
        <f t="shared" si="6"/>
        <v>-0.74314482547739424</v>
      </c>
      <c r="L76" s="47">
        <f t="shared" si="7"/>
        <v>-0.66913060635885824</v>
      </c>
    </row>
    <row r="77" spans="10:12">
      <c r="J77" s="47">
        <v>225</v>
      </c>
      <c r="K77" s="47">
        <f t="shared" si="6"/>
        <v>-0.70710678118654768</v>
      </c>
      <c r="L77" s="47">
        <f t="shared" si="7"/>
        <v>-0.70710678118654746</v>
      </c>
    </row>
    <row r="78" spans="10:12">
      <c r="J78" s="47">
        <v>228</v>
      </c>
      <c r="K78" s="47">
        <f t="shared" si="6"/>
        <v>-0.66913060635885846</v>
      </c>
      <c r="L78" s="47">
        <f t="shared" si="7"/>
        <v>-0.74314482547739402</v>
      </c>
    </row>
    <row r="79" spans="10:12">
      <c r="J79" s="47">
        <v>231</v>
      </c>
      <c r="K79" s="47">
        <f t="shared" si="6"/>
        <v>-0.62932039104983717</v>
      </c>
      <c r="L79" s="47">
        <f t="shared" si="7"/>
        <v>-0.77714596145697112</v>
      </c>
    </row>
    <row r="80" spans="10:12">
      <c r="J80" s="47">
        <v>234</v>
      </c>
      <c r="K80" s="47">
        <f t="shared" si="6"/>
        <v>-0.58778525229247325</v>
      </c>
      <c r="L80" s="47">
        <f t="shared" si="7"/>
        <v>-0.80901699437494734</v>
      </c>
    </row>
    <row r="81" spans="10:12">
      <c r="J81" s="47">
        <v>237</v>
      </c>
      <c r="K81" s="47">
        <f t="shared" si="6"/>
        <v>-0.54463903501502697</v>
      </c>
      <c r="L81" s="47">
        <f t="shared" si="7"/>
        <v>-0.83867056794542405</v>
      </c>
    </row>
    <row r="82" spans="10:12">
      <c r="J82" s="47">
        <v>240</v>
      </c>
      <c r="K82" s="47">
        <f t="shared" si="6"/>
        <v>-0.50000000000000044</v>
      </c>
      <c r="L82" s="47">
        <f t="shared" si="7"/>
        <v>-0.86602540378443837</v>
      </c>
    </row>
    <row r="83" spans="10:12">
      <c r="J83" s="47">
        <v>243</v>
      </c>
      <c r="K83" s="47">
        <f t="shared" si="6"/>
        <v>-0.45399049973954692</v>
      </c>
      <c r="L83" s="47">
        <f t="shared" si="7"/>
        <v>-0.89100652418836779</v>
      </c>
    </row>
    <row r="84" spans="10:12">
      <c r="J84" s="47">
        <v>246</v>
      </c>
      <c r="K84" s="47">
        <f t="shared" si="6"/>
        <v>-0.4067366430758001</v>
      </c>
      <c r="L84" s="47">
        <f t="shared" si="7"/>
        <v>-0.91354545764260098</v>
      </c>
    </row>
    <row r="85" spans="10:12">
      <c r="J85" s="47">
        <v>249</v>
      </c>
      <c r="K85" s="47">
        <f t="shared" si="6"/>
        <v>-0.35836794954530071</v>
      </c>
      <c r="L85" s="47">
        <f t="shared" si="7"/>
        <v>-0.93358042649720163</v>
      </c>
    </row>
    <row r="86" spans="10:12">
      <c r="J86" s="47">
        <v>252</v>
      </c>
      <c r="K86" s="47">
        <f t="shared" si="6"/>
        <v>-0.30901699437494756</v>
      </c>
      <c r="L86" s="47">
        <f t="shared" si="7"/>
        <v>-0.95105651629515353</v>
      </c>
    </row>
    <row r="87" spans="10:12">
      <c r="J87" s="47">
        <v>255</v>
      </c>
      <c r="K87" s="47">
        <f t="shared" si="6"/>
        <v>-0.25881904510252063</v>
      </c>
      <c r="L87" s="47">
        <f t="shared" si="7"/>
        <v>-0.96592582628906831</v>
      </c>
    </row>
    <row r="88" spans="10:12">
      <c r="J88" s="47">
        <v>258</v>
      </c>
      <c r="K88" s="47">
        <f t="shared" si="6"/>
        <v>-0.20791169081775979</v>
      </c>
      <c r="L88" s="47">
        <f t="shared" si="7"/>
        <v>-0.97814760073380558</v>
      </c>
    </row>
    <row r="89" spans="10:12">
      <c r="J89" s="47">
        <v>261</v>
      </c>
      <c r="K89" s="47">
        <f t="shared" si="6"/>
        <v>-0.15643446504023104</v>
      </c>
      <c r="L89" s="47">
        <f t="shared" si="7"/>
        <v>-0.98768834059513766</v>
      </c>
    </row>
    <row r="90" spans="10:12">
      <c r="J90" s="47">
        <v>264</v>
      </c>
      <c r="K90" s="47">
        <f t="shared" si="6"/>
        <v>-0.10452846326765336</v>
      </c>
      <c r="L90" s="47">
        <f t="shared" si="7"/>
        <v>-0.9945218953682734</v>
      </c>
    </row>
    <row r="91" spans="10:12">
      <c r="J91" s="47">
        <v>267</v>
      </c>
      <c r="K91" s="47">
        <f t="shared" si="6"/>
        <v>-5.2335956242944306E-2</v>
      </c>
      <c r="L91" s="47">
        <f t="shared" si="7"/>
        <v>-0.99862953475457383</v>
      </c>
    </row>
    <row r="92" spans="10:12">
      <c r="J92" s="47">
        <v>270</v>
      </c>
      <c r="K92" s="47">
        <f t="shared" si="6"/>
        <v>-1.83772268236293E-16</v>
      </c>
      <c r="L92" s="47">
        <f t="shared" si="7"/>
        <v>-1</v>
      </c>
    </row>
    <row r="93" spans="10:12">
      <c r="J93" s="47">
        <v>273</v>
      </c>
      <c r="K93" s="47">
        <f t="shared" si="6"/>
        <v>5.2335956242943946E-2</v>
      </c>
      <c r="L93" s="47">
        <f t="shared" si="7"/>
        <v>-0.99862953475457383</v>
      </c>
    </row>
    <row r="94" spans="10:12">
      <c r="J94" s="47">
        <v>276</v>
      </c>
      <c r="K94" s="47">
        <f t="shared" si="6"/>
        <v>0.10452846326765299</v>
      </c>
      <c r="L94" s="47">
        <f t="shared" si="7"/>
        <v>-0.9945218953682734</v>
      </c>
    </row>
    <row r="95" spans="10:12">
      <c r="J95" s="47">
        <v>279</v>
      </c>
      <c r="K95" s="47">
        <f t="shared" si="6"/>
        <v>0.15643446504023067</v>
      </c>
      <c r="L95" s="47">
        <f t="shared" si="7"/>
        <v>-0.98768834059513777</v>
      </c>
    </row>
    <row r="96" spans="10:12">
      <c r="J96" s="47">
        <v>282</v>
      </c>
      <c r="K96" s="47">
        <f t="shared" si="6"/>
        <v>0.20791169081775857</v>
      </c>
      <c r="L96" s="47">
        <f t="shared" si="7"/>
        <v>-0.9781476007338058</v>
      </c>
    </row>
    <row r="97" spans="10:12">
      <c r="J97" s="47">
        <v>285</v>
      </c>
      <c r="K97" s="47">
        <f t="shared" si="6"/>
        <v>0.25881904510252113</v>
      </c>
      <c r="L97" s="47">
        <f t="shared" si="7"/>
        <v>-0.9659258262890682</v>
      </c>
    </row>
    <row r="98" spans="10:12">
      <c r="J98" s="47">
        <v>288</v>
      </c>
      <c r="K98" s="47">
        <f t="shared" ref="K98:K129" si="8">COS(J98*PI()/180)</f>
        <v>0.30901699437494723</v>
      </c>
      <c r="L98" s="47">
        <f t="shared" ref="L98:L122" si="9">SIN(J98*PI()/180)</f>
        <v>-0.95105651629515364</v>
      </c>
    </row>
    <row r="99" spans="10:12">
      <c r="J99" s="47">
        <v>291</v>
      </c>
      <c r="K99" s="47">
        <f t="shared" si="8"/>
        <v>0.35836794954529955</v>
      </c>
      <c r="L99" s="47">
        <f t="shared" si="9"/>
        <v>-0.93358042649720208</v>
      </c>
    </row>
    <row r="100" spans="10:12">
      <c r="J100" s="47">
        <v>294</v>
      </c>
      <c r="K100" s="47">
        <f t="shared" si="8"/>
        <v>0.40673664307580054</v>
      </c>
      <c r="L100" s="47">
        <f t="shared" si="9"/>
        <v>-0.91354545764260076</v>
      </c>
    </row>
    <row r="101" spans="10:12">
      <c r="J101" s="47">
        <v>297</v>
      </c>
      <c r="K101" s="47">
        <f t="shared" si="8"/>
        <v>0.45399049973954664</v>
      </c>
      <c r="L101" s="47">
        <f t="shared" si="9"/>
        <v>-0.8910065241883679</v>
      </c>
    </row>
    <row r="102" spans="10:12">
      <c r="J102" s="47">
        <v>300</v>
      </c>
      <c r="K102" s="47">
        <f t="shared" si="8"/>
        <v>0.50000000000000011</v>
      </c>
      <c r="L102" s="47">
        <f t="shared" si="9"/>
        <v>-0.8660254037844386</v>
      </c>
    </row>
    <row r="103" spans="10:12">
      <c r="J103" s="47">
        <v>303</v>
      </c>
      <c r="K103" s="47">
        <f t="shared" si="8"/>
        <v>0.54463903501502664</v>
      </c>
      <c r="L103" s="47">
        <f t="shared" si="9"/>
        <v>-0.83867056794542427</v>
      </c>
    </row>
    <row r="104" spans="10:12">
      <c r="J104" s="47">
        <v>306</v>
      </c>
      <c r="K104" s="47">
        <f t="shared" si="8"/>
        <v>0.58778525229247292</v>
      </c>
      <c r="L104" s="47">
        <f t="shared" si="9"/>
        <v>-0.80901699437494756</v>
      </c>
    </row>
    <row r="105" spans="10:12">
      <c r="J105" s="47">
        <v>309</v>
      </c>
      <c r="K105" s="47">
        <f t="shared" si="8"/>
        <v>0.6293203910498375</v>
      </c>
      <c r="L105" s="47">
        <f t="shared" si="9"/>
        <v>-0.77714596145697079</v>
      </c>
    </row>
    <row r="106" spans="10:12">
      <c r="J106" s="47">
        <v>312</v>
      </c>
      <c r="K106" s="47">
        <f t="shared" si="8"/>
        <v>0.66913060635885779</v>
      </c>
      <c r="L106" s="47">
        <f t="shared" si="9"/>
        <v>-0.74314482547739458</v>
      </c>
    </row>
    <row r="107" spans="10:12">
      <c r="J107" s="47">
        <v>315</v>
      </c>
      <c r="K107" s="47">
        <f t="shared" si="8"/>
        <v>0.70710678118654735</v>
      </c>
      <c r="L107" s="47">
        <f t="shared" si="9"/>
        <v>-0.70710678118654768</v>
      </c>
    </row>
    <row r="108" spans="10:12">
      <c r="J108" s="47">
        <v>318</v>
      </c>
      <c r="K108" s="47">
        <f t="shared" si="8"/>
        <v>0.74314482547739424</v>
      </c>
      <c r="L108" s="47">
        <f t="shared" si="9"/>
        <v>-0.66913060635885813</v>
      </c>
    </row>
    <row r="109" spans="10:12">
      <c r="J109" s="47">
        <v>321</v>
      </c>
      <c r="K109" s="47">
        <f t="shared" si="8"/>
        <v>0.77714596145697057</v>
      </c>
      <c r="L109" s="47">
        <f t="shared" si="9"/>
        <v>-0.62932039104983784</v>
      </c>
    </row>
    <row r="110" spans="10:12">
      <c r="J110" s="47">
        <v>324</v>
      </c>
      <c r="K110" s="47">
        <f t="shared" si="8"/>
        <v>0.80901699437494734</v>
      </c>
      <c r="L110" s="47">
        <f t="shared" si="9"/>
        <v>-0.58778525229247336</v>
      </c>
    </row>
    <row r="111" spans="10:12">
      <c r="J111" s="47">
        <v>327</v>
      </c>
      <c r="K111" s="47">
        <f t="shared" si="8"/>
        <v>0.83867056794542405</v>
      </c>
      <c r="L111" s="47">
        <f t="shared" si="9"/>
        <v>-0.54463903501502697</v>
      </c>
    </row>
    <row r="112" spans="10:12">
      <c r="J112" s="47">
        <v>330</v>
      </c>
      <c r="K112" s="47">
        <f t="shared" si="8"/>
        <v>0.86602540378443837</v>
      </c>
      <c r="L112" s="47">
        <f t="shared" si="9"/>
        <v>-0.50000000000000044</v>
      </c>
    </row>
    <row r="113" spans="10:12">
      <c r="J113" s="47">
        <v>333</v>
      </c>
      <c r="K113" s="47">
        <f t="shared" si="8"/>
        <v>0.89100652418836779</v>
      </c>
      <c r="L113" s="47">
        <f t="shared" si="9"/>
        <v>-0.45399049973954697</v>
      </c>
    </row>
    <row r="114" spans="10:12">
      <c r="J114" s="47">
        <v>336</v>
      </c>
      <c r="K114" s="47">
        <f t="shared" si="8"/>
        <v>0.91354545764260098</v>
      </c>
      <c r="L114" s="47">
        <f t="shared" si="9"/>
        <v>-0.40673664307580015</v>
      </c>
    </row>
    <row r="115" spans="10:12">
      <c r="J115" s="47">
        <v>339</v>
      </c>
      <c r="K115" s="47">
        <f t="shared" si="8"/>
        <v>0.93358042649720152</v>
      </c>
      <c r="L115" s="47">
        <f t="shared" si="9"/>
        <v>-0.35836794954530077</v>
      </c>
    </row>
    <row r="116" spans="10:12">
      <c r="J116" s="47">
        <v>342</v>
      </c>
      <c r="K116" s="47">
        <f t="shared" si="8"/>
        <v>0.95105651629515353</v>
      </c>
      <c r="L116" s="47">
        <f t="shared" si="9"/>
        <v>-0.30901699437494762</v>
      </c>
    </row>
    <row r="117" spans="10:12">
      <c r="J117" s="47">
        <v>345</v>
      </c>
      <c r="K117" s="47">
        <f t="shared" si="8"/>
        <v>0.96592582628906831</v>
      </c>
      <c r="L117" s="47">
        <f t="shared" si="9"/>
        <v>-0.25881904510252068</v>
      </c>
    </row>
    <row r="118" spans="10:12">
      <c r="J118" s="47">
        <v>348</v>
      </c>
      <c r="K118" s="47">
        <f t="shared" si="8"/>
        <v>0.97814760073380558</v>
      </c>
      <c r="L118" s="47">
        <f t="shared" si="9"/>
        <v>-0.20791169081775987</v>
      </c>
    </row>
    <row r="119" spans="10:12">
      <c r="J119" s="47">
        <v>351</v>
      </c>
      <c r="K119" s="47">
        <f t="shared" si="8"/>
        <v>0.98768834059513766</v>
      </c>
      <c r="L119" s="47">
        <f t="shared" si="9"/>
        <v>-0.15643446504023112</v>
      </c>
    </row>
    <row r="120" spans="10:12">
      <c r="J120" s="47">
        <v>354</v>
      </c>
      <c r="K120" s="47">
        <f t="shared" si="8"/>
        <v>0.99452189536827329</v>
      </c>
      <c r="L120" s="47">
        <f t="shared" si="9"/>
        <v>-0.10452846326765342</v>
      </c>
    </row>
    <row r="121" spans="10:12">
      <c r="J121" s="47">
        <v>357</v>
      </c>
      <c r="K121" s="47">
        <f t="shared" si="8"/>
        <v>0.99862953475457383</v>
      </c>
      <c r="L121" s="47">
        <f t="shared" si="9"/>
        <v>-5.2335956242944369E-2</v>
      </c>
    </row>
    <row r="122" spans="10:12">
      <c r="J122" s="47">
        <v>360</v>
      </c>
      <c r="K122" s="47">
        <f t="shared" si="8"/>
        <v>1</v>
      </c>
      <c r="L122" s="47">
        <f t="shared" si="9"/>
        <v>-2.45029690981724E-16</v>
      </c>
    </row>
  </sheetData>
  <pageMargins left="0" right="0" top="0.39370078740157477" bottom="0.39370078740157477" header="0" footer="0"/>
  <headerFooter>
    <oddHeader>&amp;C&amp;A</oddHeader>
    <oddFooter>&amp;CSeite &amp;P</oddFooter>
  </headerFooter>
  <drawing r:id="rId1"/>
</worksheet>
</file>

<file path=docProps/app.xml><?xml version="1.0" encoding="utf-8"?>
<Properties xmlns="http://purl.oclc.org/ooxml/officeDocument/extendedProperties" xmlns:vt="http://purl.oclc.org/ooxml/officeDocument/docPropsVTypes">
  <TotalTime>922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input</vt:lpstr>
      <vt:lpstr>calc</vt:lpstr>
      <vt:lpstr>elev  az</vt:lpstr>
      <vt:lpstr>E o T</vt:lpstr>
      <vt:lpstr>declin  dist</vt:lpstr>
      <vt:lpstr>orbit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Jürgen Giesen</cp:lastModifiedBy>
  <cp:revision>119</cp:revision>
  <dcterms:created xsi:type="dcterms:W3CDTF">2019-04-06T21:52:12Z</dcterms:created>
  <dcterms:modified xsi:type="dcterms:W3CDTF">2019-09-04T22:05:10Z</dcterms:modified>
</cp:coreProperties>
</file>